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\Kunden\STF\üK-Leiter\Reform_2012\üK4_Bivo_2012\"/>
    </mc:Choice>
  </mc:AlternateContent>
  <xr:revisionPtr revIDLastSave="0" documentId="13_ncr:1_{33737253-404A-45FC-B7B0-71FB2C1C323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Betriebskosten bei Leasing" sheetId="5" r:id="rId1"/>
    <sheet name="Betriebskosten" sheetId="2" r:id="rId2"/>
    <sheet name="Kauf Fahrzeug" sheetId="4" r:id="rId3"/>
    <sheet name="Leasingrate" sheetId="3" r:id="rId4"/>
    <sheet name="Kreditfähigkeitsprüfung" sheetId="10" r:id="rId5"/>
    <sheet name="Renault Clio" sheetId="15" r:id="rId6"/>
    <sheet name="Hyundai Veloster" sheetId="14" r:id="rId7"/>
    <sheet name="Hyundai i40" sheetId="13" r:id="rId8"/>
    <sheet name="Nissan Juke" sheetId="9" r:id="rId9"/>
    <sheet name="Golf VI" sheetId="12" r:id="rId10"/>
    <sheet name="VW Polo" sheetId="7" r:id="rId11"/>
    <sheet name="Nissan Micra" sheetId="8" r:id="rId12"/>
    <sheet name="Volvo V60" sheetId="16" r:id="rId13"/>
    <sheet name="Leasingrate_1" sheetId="11" r:id="rId14"/>
  </sheets>
  <calcPr calcId="181029"/>
</workbook>
</file>

<file path=xl/calcChain.xml><?xml version="1.0" encoding="utf-8"?>
<calcChain xmlns="http://schemas.openxmlformats.org/spreadsheetml/2006/main">
  <c r="D19" i="16" l="1"/>
  <c r="B18" i="16"/>
  <c r="B32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19" i="16"/>
  <c r="B5" i="16"/>
  <c r="C25" i="5"/>
  <c r="C18" i="5"/>
  <c r="C12" i="5"/>
  <c r="C7" i="10"/>
  <c r="B32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19" i="15"/>
  <c r="B5" i="15"/>
  <c r="B32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19" i="14"/>
  <c r="B5" i="14"/>
  <c r="B32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19" i="13"/>
  <c r="B24" i="13" s="1"/>
  <c r="B34" i="13" s="1"/>
  <c r="B5" i="13"/>
  <c r="B32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19" i="8"/>
  <c r="B5" i="8"/>
  <c r="B32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19" i="9"/>
  <c r="B5" i="9"/>
  <c r="B32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19" i="7"/>
  <c r="B5" i="7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5" i="12"/>
  <c r="B32" i="12"/>
  <c r="B12" i="4"/>
  <c r="B24" i="11"/>
  <c r="B14" i="11"/>
  <c r="B12" i="11"/>
  <c r="B11" i="11"/>
  <c r="B13" i="11"/>
  <c r="B15" i="11"/>
  <c r="B26" i="11" s="1"/>
  <c r="B29" i="11" s="1"/>
  <c r="B14" i="3"/>
  <c r="C8" i="10"/>
  <c r="C10" i="10"/>
  <c r="C16" i="10"/>
  <c r="C18" i="10" s="1"/>
  <c r="C13" i="10"/>
  <c r="C14" i="10"/>
  <c r="C9" i="10"/>
  <c r="B11" i="3"/>
  <c r="B18" i="3"/>
  <c r="D18" i="3" s="1"/>
  <c r="D26" i="3" s="1"/>
  <c r="B24" i="3"/>
  <c r="D24" i="3"/>
  <c r="C9" i="2"/>
  <c r="C10" i="2"/>
  <c r="C15" i="2"/>
  <c r="C11" i="2"/>
  <c r="C16" i="2"/>
  <c r="C14" i="2"/>
  <c r="C12" i="2"/>
  <c r="C13" i="2"/>
  <c r="C22" i="2"/>
  <c r="C23" i="2"/>
  <c r="C27" i="2" s="1"/>
  <c r="C24" i="2"/>
  <c r="C25" i="2"/>
  <c r="B13" i="5"/>
  <c r="C13" i="5" s="1"/>
  <c r="C11" i="5"/>
  <c r="C14" i="5"/>
  <c r="C15" i="5"/>
  <c r="C16" i="5"/>
  <c r="C17" i="5"/>
  <c r="C19" i="5"/>
  <c r="C26" i="5"/>
  <c r="C30" i="5" s="1"/>
  <c r="C27" i="5"/>
  <c r="C28" i="5"/>
  <c r="B11" i="4"/>
  <c r="B14" i="4"/>
  <c r="B17" i="4" s="1"/>
  <c r="B12" i="3"/>
  <c r="B13" i="3" s="1"/>
  <c r="B15" i="3" s="1"/>
  <c r="B20" i="13"/>
  <c r="B18" i="11"/>
  <c r="B20" i="7"/>
  <c r="D29" i="11" l="1"/>
  <c r="B32" i="11"/>
  <c r="B34" i="11" s="1"/>
  <c r="C18" i="2"/>
  <c r="C29" i="2" s="1"/>
  <c r="C31" i="2" s="1"/>
  <c r="B22" i="7"/>
  <c r="B31" i="7" s="1"/>
  <c r="B33" i="7" s="1"/>
  <c r="B20" i="9"/>
  <c r="B24" i="9"/>
  <c r="B22" i="9"/>
  <c r="B31" i="9" s="1"/>
  <c r="B33" i="9" s="1"/>
  <c r="B20" i="8"/>
  <c r="B24" i="8"/>
  <c r="B22" i="8"/>
  <c r="B31" i="8" s="1"/>
  <c r="B33" i="8" s="1"/>
  <c r="B20" i="14"/>
  <c r="B22" i="14" s="1"/>
  <c r="B31" i="14" s="1"/>
  <c r="B33" i="14" s="1"/>
  <c r="B20" i="15"/>
  <c r="B24" i="15"/>
  <c r="B22" i="16"/>
  <c r="B24" i="14"/>
  <c r="B20" i="16"/>
  <c r="B19" i="12"/>
  <c r="B22" i="15"/>
  <c r="B31" i="15" s="1"/>
  <c r="B33" i="15" s="1"/>
  <c r="B24" i="16"/>
  <c r="C21" i="5"/>
  <c r="C32" i="5" s="1"/>
  <c r="C34" i="5" s="1"/>
  <c r="B44" i="13"/>
  <c r="B24" i="7"/>
  <c r="B22" i="13"/>
  <c r="B31" i="13" s="1"/>
  <c r="B33" i="13" s="1"/>
  <c r="B26" i="3"/>
  <c r="B29" i="3" s="1"/>
  <c r="B44" i="7" l="1"/>
  <c r="B34" i="7"/>
  <c r="B35" i="7" s="1"/>
  <c r="B31" i="16"/>
  <c r="B33" i="16" s="1"/>
  <c r="C22" i="16"/>
  <c r="B20" i="12"/>
  <c r="B22" i="12" s="1"/>
  <c r="B31" i="12" s="1"/>
  <c r="B33" i="12" s="1"/>
  <c r="B24" i="12"/>
  <c r="B44" i="15"/>
  <c r="B34" i="15"/>
  <c r="B35" i="15" s="1"/>
  <c r="B35" i="8"/>
  <c r="B34" i="9"/>
  <c r="B35" i="9" s="1"/>
  <c r="B44" i="9"/>
  <c r="D29" i="3"/>
  <c r="B32" i="3"/>
  <c r="B34" i="3" s="1"/>
  <c r="D34" i="3" s="1"/>
  <c r="B34" i="8"/>
  <c r="B44" i="8"/>
  <c r="B35" i="13"/>
  <c r="B44" i="16"/>
  <c r="B34" i="16"/>
  <c r="B34" i="14"/>
  <c r="B35" i="14" s="1"/>
  <c r="B44" i="14"/>
  <c r="B38" i="15" l="1"/>
  <c r="B56" i="15" s="1"/>
  <c r="B38" i="14"/>
  <c r="B56" i="14" s="1"/>
  <c r="B38" i="9"/>
  <c r="B56" i="9" s="1"/>
  <c r="B38" i="7"/>
  <c r="B46" i="7"/>
  <c r="B49" i="7" s="1"/>
  <c r="B38" i="13"/>
  <c r="B56" i="13" s="1"/>
  <c r="B44" i="12"/>
  <c r="B34" i="12"/>
  <c r="B35" i="12" s="1"/>
  <c r="B38" i="8"/>
  <c r="B46" i="8" s="1"/>
  <c r="B49" i="8" s="1"/>
  <c r="B35" i="16"/>
  <c r="B38" i="12" l="1"/>
  <c r="B56" i="12" s="1"/>
  <c r="B52" i="8"/>
  <c r="B54" i="8" s="1"/>
  <c r="C49" i="8"/>
  <c r="C52" i="8" s="1"/>
  <c r="C54" i="8" s="1"/>
  <c r="B52" i="7"/>
  <c r="B54" i="7" s="1"/>
  <c r="C49" i="7"/>
  <c r="C52" i="7" s="1"/>
  <c r="C54" i="7" s="1"/>
  <c r="B46" i="13"/>
  <c r="B49" i="13" s="1"/>
  <c r="B46" i="14"/>
  <c r="B49" i="14" s="1"/>
  <c r="B38" i="16"/>
  <c r="B56" i="16" s="1"/>
  <c r="B46" i="16"/>
  <c r="B49" i="16" s="1"/>
  <c r="B46" i="9"/>
  <c r="B49" i="9" s="1"/>
  <c r="B46" i="15"/>
  <c r="B49" i="15" s="1"/>
  <c r="B52" i="15" l="1"/>
  <c r="B54" i="15" s="1"/>
  <c r="C49" i="15"/>
  <c r="C52" i="15" s="1"/>
  <c r="C54" i="15" s="1"/>
  <c r="B52" i="14"/>
  <c r="B54" i="14" s="1"/>
  <c r="C49" i="14"/>
  <c r="C52" i="14" s="1"/>
  <c r="C54" i="14" s="1"/>
  <c r="B52" i="9"/>
  <c r="B54" i="9" s="1"/>
  <c r="C49" i="9"/>
  <c r="C52" i="9" s="1"/>
  <c r="C54" i="9" s="1"/>
  <c r="C49" i="13"/>
  <c r="C52" i="13" s="1"/>
  <c r="C54" i="13" s="1"/>
  <c r="B52" i="13"/>
  <c r="B54" i="13" s="1"/>
  <c r="B52" i="16"/>
  <c r="B54" i="16" s="1"/>
  <c r="C49" i="16"/>
  <c r="C52" i="16" s="1"/>
  <c r="C54" i="16" s="1"/>
  <c r="B46" i="12"/>
  <c r="B49" i="12" s="1"/>
  <c r="C49" i="12" l="1"/>
  <c r="C52" i="12" s="1"/>
  <c r="C54" i="12" s="1"/>
  <c r="B52" i="12"/>
  <c r="B54" i="12" s="1"/>
</calcChain>
</file>

<file path=xl/sharedStrings.xml><?xml version="1.0" encoding="utf-8"?>
<sst xmlns="http://schemas.openxmlformats.org/spreadsheetml/2006/main" count="435" uniqueCount="126">
  <si>
    <t>Betriebskosten eines Fahrzeuges</t>
  </si>
  <si>
    <t>Fixe Kosten</t>
  </si>
  <si>
    <t>Variable Kosten</t>
  </si>
  <si>
    <t>Totalkosten</t>
  </si>
  <si>
    <t>Total Fixkosten</t>
  </si>
  <si>
    <t>Total variable Kosten</t>
  </si>
  <si>
    <t>Amortisation (Wertverzehr) in Jahren</t>
  </si>
  <si>
    <t>Kapitalzins Jahreszins in % von halben Kapital</t>
  </si>
  <si>
    <t>Steuern in Fr.</t>
  </si>
  <si>
    <t>Haftpflichtversicherung in Fr.</t>
  </si>
  <si>
    <t>Teilkasko in Fr.</t>
  </si>
  <si>
    <t>Garagierungskosten Monatszins</t>
  </si>
  <si>
    <t>Fahrzeugpflege in % vom Neuwert</t>
  </si>
  <si>
    <t>Nebenauslagen (Accessoires etc.) in Fr.</t>
  </si>
  <si>
    <t>Wertverminderung in% vom Neuwert</t>
  </si>
  <si>
    <t>Durchschn. Treibstoffpreis in Fr.</t>
  </si>
  <si>
    <t>Treibstoffkosten l/100km</t>
  </si>
  <si>
    <t>Durchschn. Kilometerleistung/ Jahr</t>
  </si>
  <si>
    <t>Service und Reparaturkosten in Fr.</t>
  </si>
  <si>
    <t>Reifenkosten in Fr.</t>
  </si>
  <si>
    <t>Kilometerpreis</t>
  </si>
  <si>
    <t>Berechnung der Leasingrate</t>
  </si>
  <si>
    <t>Verkaufspreis Fahrzeug</t>
  </si>
  <si>
    <t>Anzahlung</t>
  </si>
  <si>
    <t>Finanzierung 1</t>
  </si>
  <si>
    <t>Restwert</t>
  </si>
  <si>
    <t>Leasingzins</t>
  </si>
  <si>
    <t>Laufzeit</t>
  </si>
  <si>
    <t>Berechnung Zins 1 (Wertverzehr)</t>
  </si>
  <si>
    <t>Kapital</t>
  </si>
  <si>
    <t xml:space="preserve">Formel: </t>
  </si>
  <si>
    <t>Kapital : 2 x Zins 1 x Laufzeit : 12 Monate : 100</t>
  </si>
  <si>
    <t>Zins 2 (Restwert)</t>
  </si>
  <si>
    <t>Formel:</t>
  </si>
  <si>
    <t>Restwert x Zins 2 x Laufzeit : 12 : 100</t>
  </si>
  <si>
    <t>Total Kapital</t>
  </si>
  <si>
    <t>Leasingrate / Monat</t>
  </si>
  <si>
    <t>Formel: Total Kapital : Laufzeit</t>
  </si>
  <si>
    <t>Bezahlter Betrag innerhalb der Laufzeit</t>
  </si>
  <si>
    <t>Formel: Leasingrate x Laufzeit + Anzahlung</t>
  </si>
  <si>
    <t>Kauf Fahrzeug</t>
  </si>
  <si>
    <t>Verkaufspreis netto</t>
  </si>
  <si>
    <t>Kapitalzins</t>
  </si>
  <si>
    <t>Abschreibungsdauer</t>
  </si>
  <si>
    <t>Restwert nach Abschreibungsdauer</t>
  </si>
  <si>
    <t>Kosten innerhalb der Laufzeit</t>
  </si>
  <si>
    <t>Wertverzehr</t>
  </si>
  <si>
    <t>Kosten pro Monat während der Laufzeit</t>
  </si>
  <si>
    <t>Total Kosten</t>
  </si>
  <si>
    <t>Kapitalzins in %</t>
  </si>
  <si>
    <t>Kapitalkosten effektiv pro Monat</t>
  </si>
  <si>
    <t>Betriebskosten eines Fahrzeuges Leasing</t>
  </si>
  <si>
    <t>Leasingrate in Fr.</t>
  </si>
  <si>
    <t>Amortisation (Wertverzehr Anzahlung) in Jahren</t>
  </si>
  <si>
    <t>Leasingrate / Jahr</t>
  </si>
  <si>
    <t>Nebenauslagen (Vignette, Parkgebühren etc.) in Fr.</t>
  </si>
  <si>
    <t>Total Zubehör</t>
  </si>
  <si>
    <t>Kilometer pro Jahr</t>
  </si>
  <si>
    <t>Prozentsatz Restwert</t>
  </si>
  <si>
    <t>Total Fahrzeug</t>
  </si>
  <si>
    <t>Rabatt</t>
  </si>
  <si>
    <t>Kreditfähigkeitsprüfung</t>
  </si>
  <si>
    <t>Einkommen netto / Monat</t>
  </si>
  <si>
    <t>Miete</t>
  </si>
  <si>
    <t>Anzahl Erwachsene im Haushalt</t>
  </si>
  <si>
    <t>Anzahl Kinder im Haushalt</t>
  </si>
  <si>
    <t>Steuern</t>
  </si>
  <si>
    <t>Lebenshaltung pro Erwachsene</t>
  </si>
  <si>
    <t>Lebenshaltung pro Kind</t>
  </si>
  <si>
    <t>Alimente und weitere Fixkosten</t>
  </si>
  <si>
    <t>Kriterium</t>
  </si>
  <si>
    <t>Zusatzeinkommen/ Monat</t>
  </si>
  <si>
    <t>Total Nettoeinkommen</t>
  </si>
  <si>
    <t>pro Jahr</t>
  </si>
  <si>
    <t>Pfändbarer Betrag pro Jahr</t>
  </si>
  <si>
    <t>Formel: (Leasingrate x Laufzeit) + Anzahlung</t>
  </si>
  <si>
    <t>Sicherheitspaket</t>
  </si>
  <si>
    <t>Komfort Paket</t>
  </si>
  <si>
    <t>Metallic Farbe</t>
  </si>
  <si>
    <t>Seitenscheiben hinten abgedunkelt</t>
  </si>
  <si>
    <t>Ablagepaket</t>
  </si>
  <si>
    <t>Seitenairbag Gurtstraffer hinten</t>
  </si>
  <si>
    <t>4-Türen</t>
  </si>
  <si>
    <t>Winterpaket</t>
  </si>
  <si>
    <t>exkl. MWSt</t>
  </si>
  <si>
    <t>inkl. MWSt</t>
  </si>
  <si>
    <t>Mehrwertsteuersatz Schweiz</t>
  </si>
  <si>
    <t>Exkl. MWSt</t>
  </si>
  <si>
    <t>Inkl. MWSt</t>
  </si>
  <si>
    <t>Verkaufspreis Fahrzeug exkl. MWSt</t>
  </si>
  <si>
    <t>Kopfairbagsystem</t>
  </si>
  <si>
    <t>Geschwindigkeitsregelanlage</t>
  </si>
  <si>
    <t>Fahrkomfortpaket</t>
  </si>
  <si>
    <t>Mobiltelefonvorbereitung</t>
  </si>
  <si>
    <t>Sitzbezüge Leder</t>
  </si>
  <si>
    <t>Nissan Connect</t>
  </si>
  <si>
    <t>Parkguide</t>
  </si>
  <si>
    <t>Style Pack</t>
  </si>
  <si>
    <t>Metallic Lackierung</t>
  </si>
  <si>
    <t>6-Stufen Automat</t>
  </si>
  <si>
    <t>Travel Pack</t>
  </si>
  <si>
    <t>6-Stufen Doppelkupplungsgetriebe</t>
  </si>
  <si>
    <t>Techno Pack</t>
  </si>
  <si>
    <t>Premium Pack</t>
  </si>
  <si>
    <t>Ersatzrad</t>
  </si>
  <si>
    <t>ESP</t>
  </si>
  <si>
    <t>Elektrische Aussenspiegel</t>
  </si>
  <si>
    <t>Tempomat</t>
  </si>
  <si>
    <t>Einparkhilfe</t>
  </si>
  <si>
    <t>Elektrische Fensterheber</t>
  </si>
  <si>
    <t>Pack Luxe</t>
  </si>
  <si>
    <t>Neuwert Fahrzeug</t>
  </si>
  <si>
    <t>Kasko-Versicherung in Fr.</t>
  </si>
  <si>
    <t>Variable Wertverminderung</t>
  </si>
  <si>
    <t>Versatility Pack</t>
  </si>
  <si>
    <t>Inscripton Electric Silver Metallic 477</t>
  </si>
  <si>
    <t>Winterräder</t>
  </si>
  <si>
    <t>Einstellbare Lenkkraftunterstützung</t>
  </si>
  <si>
    <t>Standheizung mit Timer</t>
  </si>
  <si>
    <t>Beifahrersitz mit umklappbarer Rückenlehne</t>
  </si>
  <si>
    <t>Schaltwippen am Lenkrad</t>
  </si>
  <si>
    <t>Innenraum Lichtpaket</t>
  </si>
  <si>
    <t>Steckdose 12V im Kofferraum</t>
  </si>
  <si>
    <t>Entfall Motorbezeichnung</t>
  </si>
  <si>
    <t>Fahrwerk komfortorientiert ausgelegt</t>
  </si>
  <si>
    <t>Anschaffungspreis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</si>
</sst>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SFr.&quot;\ * #,##0.00_ ;_ &quot;SFr.&quot;\ * \-#,##0.00_ ;_ &quot;SFr.&quot;\ * &quot;-&quot;??_ ;_ @_ "/>
    <numFmt numFmtId="165" formatCode="&quot;SFr.&quot;\ #,##0.00"/>
    <numFmt numFmtId="166" formatCode="&quot;Fr.&quot;\ #,##0.0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u/>
      <sz val="10"/>
      <name val="Arial"/>
    </font>
    <font>
      <sz val="8"/>
      <name val="Arial"/>
    </font>
    <font>
      <b/>
      <i/>
      <u/>
      <sz val="10"/>
      <name val="Arial"/>
      <family val="2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  <xf numFmtId="0" fontId="3" fillId="0" borderId="0" xfId="0" applyFont="1"/>
    <xf numFmtId="165" fontId="4" fillId="0" borderId="0" xfId="0" applyNumberFormat="1" applyFont="1"/>
    <xf numFmtId="10" fontId="0" fillId="0" borderId="0" xfId="0" applyNumberFormat="1"/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165" fontId="6" fillId="0" borderId="0" xfId="0" applyNumberFormat="1" applyFont="1"/>
    <xf numFmtId="0" fontId="7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165" fontId="2" fillId="3" borderId="0" xfId="0" applyNumberFormat="1" applyFont="1" applyFill="1"/>
    <xf numFmtId="165" fontId="0" fillId="3" borderId="0" xfId="0" applyNumberFormat="1" applyFill="1"/>
    <xf numFmtId="9" fontId="0" fillId="3" borderId="0" xfId="0" applyNumberFormat="1" applyFill="1"/>
    <xf numFmtId="2" fontId="0" fillId="0" borderId="0" xfId="0" applyNumberFormat="1"/>
    <xf numFmtId="166" fontId="2" fillId="0" borderId="0" xfId="0" applyNumberFormat="1" applyFont="1"/>
    <xf numFmtId="166" fontId="6" fillId="0" borderId="0" xfId="0" applyNumberFormat="1" applyFont="1"/>
    <xf numFmtId="0" fontId="2" fillId="0" borderId="0" xfId="0" applyFont="1" applyAlignment="1">
      <alignment horizontal="center"/>
    </xf>
    <xf numFmtId="0" fontId="0" fillId="0" borderId="1" xfId="0" applyBorder="1"/>
    <xf numFmtId="164" fontId="8" fillId="4" borderId="1" xfId="1" applyFont="1" applyFill="1" applyBorder="1"/>
    <xf numFmtId="165" fontId="0" fillId="4" borderId="1" xfId="0" applyNumberFormat="1" applyFill="1" applyBorder="1"/>
    <xf numFmtId="0" fontId="0" fillId="4" borderId="1" xfId="0" applyFill="1" applyBorder="1"/>
    <xf numFmtId="165" fontId="0" fillId="0" borderId="1" xfId="0" applyNumberFormat="1" applyBorder="1"/>
    <xf numFmtId="10" fontId="0" fillId="4" borderId="1" xfId="0" applyNumberFormat="1" applyFill="1" applyBorder="1"/>
    <xf numFmtId="0" fontId="2" fillId="0" borderId="1" xfId="0" applyFont="1" applyBorder="1"/>
    <xf numFmtId="165" fontId="2" fillId="0" borderId="1" xfId="0" applyNumberFormat="1" applyFont="1" applyBorder="1"/>
    <xf numFmtId="0" fontId="9" fillId="0" borderId="1" xfId="0" applyFont="1" applyBorder="1"/>
    <xf numFmtId="165" fontId="4" fillId="0" borderId="1" xfId="0" applyNumberFormat="1" applyFont="1" applyBorder="1"/>
    <xf numFmtId="0" fontId="0" fillId="0" borderId="1" xfId="0" applyBorder="1" applyAlignment="1">
      <alignment horizontal="right"/>
    </xf>
    <xf numFmtId="164" fontId="0" fillId="0" borderId="1" xfId="1" applyFont="1" applyBorder="1"/>
    <xf numFmtId="164" fontId="0" fillId="4" borderId="1" xfId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topLeftCell="A21" zoomScale="205" zoomScaleNormal="205" workbookViewId="0">
      <selection activeCell="B13" sqref="B13"/>
    </sheetView>
  </sheetViews>
  <sheetFormatPr baseColWidth="10" defaultRowHeight="12.5" x14ac:dyDescent="0.25"/>
  <cols>
    <col min="1" max="1" width="41" customWidth="1"/>
    <col min="2" max="2" width="14.453125" bestFit="1" customWidth="1"/>
    <col min="3" max="3" width="13.7265625" bestFit="1" customWidth="1"/>
  </cols>
  <sheetData>
    <row r="1" spans="1:3" ht="15.5" x14ac:dyDescent="0.35">
      <c r="A1" s="4" t="s">
        <v>51</v>
      </c>
    </row>
    <row r="2" spans="1:3" ht="15.5" x14ac:dyDescent="0.35">
      <c r="A2" s="4"/>
    </row>
    <row r="3" spans="1:3" x14ac:dyDescent="0.25">
      <c r="A3" s="21" t="s">
        <v>111</v>
      </c>
      <c r="B3" s="22">
        <v>31500</v>
      </c>
    </row>
    <row r="4" spans="1:3" x14ac:dyDescent="0.25">
      <c r="A4" s="21" t="s">
        <v>23</v>
      </c>
      <c r="B4" s="22">
        <v>5000</v>
      </c>
    </row>
    <row r="5" spans="1:3" x14ac:dyDescent="0.25">
      <c r="A5" s="21" t="s">
        <v>15</v>
      </c>
      <c r="B5" s="23">
        <v>1.78</v>
      </c>
    </row>
    <row r="6" spans="1:3" x14ac:dyDescent="0.25">
      <c r="A6" s="21" t="s">
        <v>17</v>
      </c>
      <c r="B6" s="24">
        <v>15000</v>
      </c>
    </row>
    <row r="7" spans="1:3" x14ac:dyDescent="0.25">
      <c r="A7" s="21" t="s">
        <v>52</v>
      </c>
      <c r="B7" s="22">
        <v>508.3</v>
      </c>
    </row>
    <row r="10" spans="1:3" ht="13" x14ac:dyDescent="0.3">
      <c r="A10" s="1" t="s">
        <v>1</v>
      </c>
    </row>
    <row r="11" spans="1:3" x14ac:dyDescent="0.25">
      <c r="A11" s="21" t="s">
        <v>53</v>
      </c>
      <c r="B11" s="24">
        <v>4</v>
      </c>
      <c r="C11" s="25">
        <f>B4/B11</f>
        <v>1250</v>
      </c>
    </row>
    <row r="12" spans="1:3" x14ac:dyDescent="0.25">
      <c r="A12" s="21" t="s">
        <v>7</v>
      </c>
      <c r="B12" s="26">
        <v>0.02</v>
      </c>
      <c r="C12" s="25">
        <f>B4/2*B12/1</f>
        <v>50</v>
      </c>
    </row>
    <row r="13" spans="1:3" x14ac:dyDescent="0.25">
      <c r="A13" s="21" t="s">
        <v>54</v>
      </c>
      <c r="B13" s="33">
        <f>12*B7</f>
        <v>6099.6</v>
      </c>
      <c r="C13" s="25">
        <f>VALUE(B13)</f>
        <v>6099.6</v>
      </c>
    </row>
    <row r="14" spans="1:3" x14ac:dyDescent="0.25">
      <c r="A14" s="21" t="s">
        <v>8</v>
      </c>
      <c r="B14" s="22">
        <v>340</v>
      </c>
      <c r="C14" s="25">
        <f>VALUE(B14)</f>
        <v>340</v>
      </c>
    </row>
    <row r="15" spans="1:3" x14ac:dyDescent="0.25">
      <c r="A15" s="21" t="s">
        <v>9</v>
      </c>
      <c r="B15" s="22">
        <v>677</v>
      </c>
      <c r="C15" s="25">
        <f>VALUE(B15)</f>
        <v>677</v>
      </c>
    </row>
    <row r="16" spans="1:3" x14ac:dyDescent="0.25">
      <c r="A16" s="29" t="s">
        <v>112</v>
      </c>
      <c r="B16" s="22">
        <v>544</v>
      </c>
      <c r="C16" s="25">
        <f>VALUE(B16)</f>
        <v>544</v>
      </c>
    </row>
    <row r="17" spans="1:3" x14ac:dyDescent="0.25">
      <c r="A17" s="21" t="s">
        <v>11</v>
      </c>
      <c r="B17" s="22">
        <v>140</v>
      </c>
      <c r="C17" s="25">
        <f>12*B17</f>
        <v>1680</v>
      </c>
    </row>
    <row r="18" spans="1:3" x14ac:dyDescent="0.25">
      <c r="A18" s="21" t="s">
        <v>12</v>
      </c>
      <c r="B18" s="26">
        <v>1.4999999999999999E-2</v>
      </c>
      <c r="C18" s="25">
        <f>B3/1*B18</f>
        <v>472.5</v>
      </c>
    </row>
    <row r="19" spans="1:3" x14ac:dyDescent="0.25">
      <c r="A19" s="21" t="s">
        <v>13</v>
      </c>
      <c r="B19" s="22">
        <v>250</v>
      </c>
      <c r="C19" s="25">
        <f>VALUE(B19)</f>
        <v>250</v>
      </c>
    </row>
    <row r="20" spans="1:3" x14ac:dyDescent="0.25">
      <c r="A20" s="21"/>
      <c r="B20" s="21"/>
      <c r="C20" s="21"/>
    </row>
    <row r="21" spans="1:3" ht="13" x14ac:dyDescent="0.3">
      <c r="A21" s="27" t="s">
        <v>4</v>
      </c>
      <c r="B21" s="21"/>
      <c r="C21" s="28">
        <f>SUM(C11:C20)</f>
        <v>11363.1</v>
      </c>
    </row>
    <row r="24" spans="1:3" ht="13" x14ac:dyDescent="0.3">
      <c r="A24" s="1" t="s">
        <v>2</v>
      </c>
    </row>
    <row r="25" spans="1:3" x14ac:dyDescent="0.25">
      <c r="A25" s="21" t="s">
        <v>113</v>
      </c>
      <c r="B25" s="26">
        <v>1.4999999999999999E-2</v>
      </c>
      <c r="C25" s="32">
        <f>B3*B25</f>
        <v>472.5</v>
      </c>
    </row>
    <row r="26" spans="1:3" x14ac:dyDescent="0.25">
      <c r="A26" s="21" t="s">
        <v>16</v>
      </c>
      <c r="B26" s="24">
        <v>7.5</v>
      </c>
      <c r="C26" s="25">
        <f>B6/100*B5*B26</f>
        <v>2002.5</v>
      </c>
    </row>
    <row r="27" spans="1:3" x14ac:dyDescent="0.25">
      <c r="A27" s="21" t="s">
        <v>18</v>
      </c>
      <c r="B27" s="22">
        <v>1250</v>
      </c>
      <c r="C27" s="25">
        <f>VALUE(B27)</f>
        <v>1250</v>
      </c>
    </row>
    <row r="28" spans="1:3" x14ac:dyDescent="0.25">
      <c r="A28" s="21" t="s">
        <v>19</v>
      </c>
      <c r="B28" s="22">
        <v>600</v>
      </c>
      <c r="C28" s="25">
        <f>VALUE(B28)</f>
        <v>600</v>
      </c>
    </row>
    <row r="29" spans="1:3" x14ac:dyDescent="0.25">
      <c r="A29" s="21"/>
      <c r="B29" s="21"/>
      <c r="C29" s="25"/>
    </row>
    <row r="30" spans="1:3" ht="13" x14ac:dyDescent="0.3">
      <c r="A30" s="27" t="s">
        <v>5</v>
      </c>
      <c r="B30" s="21"/>
      <c r="C30" s="28">
        <f>SUM(C25:C29)</f>
        <v>4325</v>
      </c>
    </row>
    <row r="31" spans="1:3" x14ac:dyDescent="0.25">
      <c r="C31" s="2"/>
    </row>
    <row r="32" spans="1:3" ht="13" x14ac:dyDescent="0.3">
      <c r="A32" t="s">
        <v>3</v>
      </c>
      <c r="C32" s="28">
        <f>C21+C30</f>
        <v>15688.1</v>
      </c>
    </row>
    <row r="34" spans="1:3" ht="13" x14ac:dyDescent="0.3">
      <c r="A34" s="1" t="s">
        <v>20</v>
      </c>
      <c r="C34" s="28">
        <f>C32/B6</f>
        <v>1.0458733333333334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6"/>
  <sheetViews>
    <sheetView topLeftCell="A3" workbookViewId="0">
      <selection activeCell="B23" sqref="B23"/>
    </sheetView>
  </sheetViews>
  <sheetFormatPr baseColWidth="10" defaultRowHeight="12.5" x14ac:dyDescent="0.25"/>
  <cols>
    <col min="1" max="1" width="41.7265625" customWidth="1"/>
    <col min="2" max="3" width="13.26953125" bestFit="1" customWidth="1"/>
  </cols>
  <sheetData>
    <row r="1" spans="1:3" ht="15.5" x14ac:dyDescent="0.35">
      <c r="A1" s="4" t="s">
        <v>21</v>
      </c>
    </row>
    <row r="2" spans="1:3" ht="15.5" x14ac:dyDescent="0.35">
      <c r="A2" s="4"/>
    </row>
    <row r="3" spans="1:3" ht="13" x14ac:dyDescent="0.3">
      <c r="A3" s="1" t="s">
        <v>86</v>
      </c>
      <c r="B3" s="16">
        <v>0.08</v>
      </c>
    </row>
    <row r="4" spans="1:3" x14ac:dyDescent="0.25">
      <c r="B4" s="13" t="s">
        <v>84</v>
      </c>
      <c r="C4" s="13" t="s">
        <v>85</v>
      </c>
    </row>
    <row r="5" spans="1:3" ht="13" x14ac:dyDescent="0.3">
      <c r="A5" s="1" t="s">
        <v>22</v>
      </c>
      <c r="B5" s="17">
        <f>C5*1/(1+$B$3)</f>
        <v>26759.259259259259</v>
      </c>
      <c r="C5" s="14">
        <v>28900</v>
      </c>
    </row>
    <row r="6" spans="1:3" x14ac:dyDescent="0.25">
      <c r="A6" t="s">
        <v>76</v>
      </c>
      <c r="B6" s="17">
        <f t="shared" ref="B6:B18" si="0">C6*1/(1+$B$3)</f>
        <v>1703.7037037037037</v>
      </c>
      <c r="C6" s="15">
        <v>1840</v>
      </c>
    </row>
    <row r="7" spans="1:3" x14ac:dyDescent="0.25">
      <c r="A7" t="s">
        <v>82</v>
      </c>
      <c r="B7" s="17">
        <f t="shared" si="0"/>
        <v>1157.4074074074074</v>
      </c>
      <c r="C7" s="15">
        <v>1250</v>
      </c>
    </row>
    <row r="8" spans="1:3" x14ac:dyDescent="0.25">
      <c r="A8" t="s">
        <v>77</v>
      </c>
      <c r="B8" s="17">
        <f t="shared" si="0"/>
        <v>555.55555555555554</v>
      </c>
      <c r="C8" s="15">
        <v>600</v>
      </c>
    </row>
    <row r="9" spans="1:3" x14ac:dyDescent="0.25">
      <c r="A9" t="s">
        <v>78</v>
      </c>
      <c r="B9" s="17">
        <f t="shared" si="0"/>
        <v>620.37037037037032</v>
      </c>
      <c r="C9" s="15">
        <v>670</v>
      </c>
    </row>
    <row r="10" spans="1:3" x14ac:dyDescent="0.25">
      <c r="A10" t="s">
        <v>79</v>
      </c>
      <c r="B10" s="17">
        <f t="shared" si="0"/>
        <v>342.59259259259255</v>
      </c>
      <c r="C10" s="15">
        <v>370</v>
      </c>
    </row>
    <row r="11" spans="1:3" x14ac:dyDescent="0.25">
      <c r="A11" t="s">
        <v>80</v>
      </c>
      <c r="B11" s="17">
        <f t="shared" si="0"/>
        <v>148.14814814814815</v>
      </c>
      <c r="C11" s="15">
        <v>160</v>
      </c>
    </row>
    <row r="12" spans="1:3" x14ac:dyDescent="0.25">
      <c r="A12" t="s">
        <v>81</v>
      </c>
      <c r="B12" s="17">
        <f t="shared" si="0"/>
        <v>370.37037037037032</v>
      </c>
      <c r="C12" s="15">
        <v>400</v>
      </c>
    </row>
    <row r="13" spans="1:3" x14ac:dyDescent="0.25">
      <c r="A13" t="s">
        <v>83</v>
      </c>
      <c r="B13" s="17">
        <f t="shared" si="0"/>
        <v>518.51851851851848</v>
      </c>
      <c r="C13" s="15">
        <v>560</v>
      </c>
    </row>
    <row r="14" spans="1:3" x14ac:dyDescent="0.25">
      <c r="B14" s="17">
        <f t="shared" si="0"/>
        <v>0</v>
      </c>
      <c r="C14" s="15"/>
    </row>
    <row r="15" spans="1:3" x14ac:dyDescent="0.25">
      <c r="B15" s="17">
        <f t="shared" si="0"/>
        <v>0</v>
      </c>
      <c r="C15" s="15"/>
    </row>
    <row r="16" spans="1:3" x14ac:dyDescent="0.25">
      <c r="B16" s="17">
        <f t="shared" si="0"/>
        <v>0</v>
      </c>
      <c r="C16" s="15"/>
    </row>
    <row r="17" spans="1:3" x14ac:dyDescent="0.25">
      <c r="B17" s="17">
        <f t="shared" si="0"/>
        <v>0</v>
      </c>
      <c r="C17" s="15"/>
    </row>
    <row r="18" spans="1:3" x14ac:dyDescent="0.25">
      <c r="B18" s="17">
        <f t="shared" si="0"/>
        <v>0</v>
      </c>
      <c r="C18" s="15"/>
    </row>
    <row r="19" spans="1:3" ht="13" x14ac:dyDescent="0.3">
      <c r="A19" s="1" t="s">
        <v>56</v>
      </c>
      <c r="B19" s="3">
        <f>SUM(B6:B18)</f>
        <v>5416.6666666666661</v>
      </c>
    </row>
    <row r="20" spans="1:3" ht="13" x14ac:dyDescent="0.3">
      <c r="A20" s="1" t="s">
        <v>60</v>
      </c>
      <c r="B20" s="3">
        <f>(C5+B19)/100*C20</f>
        <v>0</v>
      </c>
      <c r="C20" s="7"/>
    </row>
    <row r="21" spans="1:3" ht="13" x14ac:dyDescent="0.3">
      <c r="A21" s="1"/>
      <c r="B21" s="3"/>
    </row>
    <row r="22" spans="1:3" ht="13" x14ac:dyDescent="0.3">
      <c r="A22" s="1" t="s">
        <v>59</v>
      </c>
      <c r="B22" s="3">
        <f>(B5+B19-B20)</f>
        <v>32175.925925925927</v>
      </c>
    </row>
    <row r="23" spans="1:3" x14ac:dyDescent="0.25">
      <c r="B23" s="2"/>
    </row>
    <row r="24" spans="1:3" ht="13" x14ac:dyDescent="0.3">
      <c r="A24" s="1" t="s">
        <v>25</v>
      </c>
      <c r="B24" s="3">
        <f>(C5+(B19/2))/100*B29</f>
        <v>12485.291666666666</v>
      </c>
    </row>
    <row r="25" spans="1:3" x14ac:dyDescent="0.25">
      <c r="A25" s="7" t="s">
        <v>26</v>
      </c>
      <c r="B25" s="7">
        <v>5</v>
      </c>
    </row>
    <row r="26" spans="1:3" x14ac:dyDescent="0.25">
      <c r="A26" s="7" t="s">
        <v>27</v>
      </c>
      <c r="B26" s="7">
        <v>48</v>
      </c>
    </row>
    <row r="27" spans="1:3" x14ac:dyDescent="0.25">
      <c r="A27" s="7" t="s">
        <v>23</v>
      </c>
      <c r="B27" s="8">
        <v>10000</v>
      </c>
    </row>
    <row r="28" spans="1:3" x14ac:dyDescent="0.25">
      <c r="A28" s="7" t="s">
        <v>57</v>
      </c>
      <c r="B28" s="9">
        <v>15000</v>
      </c>
    </row>
    <row r="29" spans="1:3" x14ac:dyDescent="0.25">
      <c r="A29" s="7" t="s">
        <v>58</v>
      </c>
      <c r="B29" s="7">
        <v>39.5</v>
      </c>
    </row>
    <row r="31" spans="1:3" x14ac:dyDescent="0.25">
      <c r="A31" t="s">
        <v>22</v>
      </c>
      <c r="B31" s="2">
        <f>VALUE(B22)</f>
        <v>32175.925925925927</v>
      </c>
    </row>
    <row r="32" spans="1:3" x14ac:dyDescent="0.25">
      <c r="A32" t="s">
        <v>23</v>
      </c>
      <c r="B32" s="5">
        <f>VALUE(B27)</f>
        <v>10000</v>
      </c>
    </row>
    <row r="33" spans="1:3" x14ac:dyDescent="0.25">
      <c r="A33" t="s">
        <v>24</v>
      </c>
      <c r="B33" s="2">
        <f>B31-B32</f>
        <v>22175.925925925927</v>
      </c>
    </row>
    <row r="34" spans="1:3" x14ac:dyDescent="0.25">
      <c r="A34" t="s">
        <v>25</v>
      </c>
      <c r="B34" s="5">
        <f>VALUE(B24)</f>
        <v>12485.291666666666</v>
      </c>
    </row>
    <row r="35" spans="1:3" ht="13" x14ac:dyDescent="0.3">
      <c r="A35" s="1" t="s">
        <v>29</v>
      </c>
      <c r="B35" s="3">
        <f>B33-B34</f>
        <v>9690.6342592592609</v>
      </c>
    </row>
    <row r="38" spans="1:3" ht="13" x14ac:dyDescent="0.3">
      <c r="A38" s="1" t="s">
        <v>28</v>
      </c>
      <c r="B38" s="2">
        <f>B35*B25*B26/2/12/100</f>
        <v>969.06342592592625</v>
      </c>
    </row>
    <row r="39" spans="1:3" x14ac:dyDescent="0.25">
      <c r="A39" t="s">
        <v>30</v>
      </c>
    </row>
    <row r="40" spans="1:3" x14ac:dyDescent="0.25">
      <c r="A40" t="s">
        <v>31</v>
      </c>
    </row>
    <row r="42" spans="1:3" ht="13" x14ac:dyDescent="0.3">
      <c r="A42" s="1" t="s">
        <v>32</v>
      </c>
    </row>
    <row r="43" spans="1:3" x14ac:dyDescent="0.25">
      <c r="A43" t="s">
        <v>33</v>
      </c>
    </row>
    <row r="44" spans="1:3" x14ac:dyDescent="0.25">
      <c r="A44" t="s">
        <v>34</v>
      </c>
      <c r="B44" s="2">
        <f>B24*B25*B26/12/100</f>
        <v>2497.0583333333334</v>
      </c>
    </row>
    <row r="46" spans="1:3" ht="13" x14ac:dyDescent="0.3">
      <c r="A46" s="1" t="s">
        <v>35</v>
      </c>
      <c r="B46" s="3">
        <f>SUM(B35:B45)</f>
        <v>13156.756018518521</v>
      </c>
    </row>
    <row r="47" spans="1:3" x14ac:dyDescent="0.25">
      <c r="B47" s="2"/>
    </row>
    <row r="48" spans="1:3" ht="13" x14ac:dyDescent="0.3">
      <c r="A48" s="1" t="s">
        <v>36</v>
      </c>
      <c r="B48" s="20" t="s">
        <v>87</v>
      </c>
      <c r="C48" s="20" t="s">
        <v>88</v>
      </c>
    </row>
    <row r="49" spans="1:3" ht="13" x14ac:dyDescent="0.3">
      <c r="A49" t="s">
        <v>37</v>
      </c>
      <c r="B49" s="10">
        <f>B46/B26</f>
        <v>274.09908371913588</v>
      </c>
      <c r="C49" s="19">
        <f>B49/1*(1+B3)</f>
        <v>296.02701041666677</v>
      </c>
    </row>
    <row r="51" spans="1:3" x14ac:dyDescent="0.25">
      <c r="A51" t="s">
        <v>38</v>
      </c>
    </row>
    <row r="52" spans="1:3" ht="13" x14ac:dyDescent="0.3">
      <c r="A52" t="s">
        <v>39</v>
      </c>
      <c r="B52" s="3">
        <f>B49*B26+B27</f>
        <v>23156.756018518521</v>
      </c>
      <c r="C52" s="18">
        <f>C49*B26+B27</f>
        <v>24209.296500000004</v>
      </c>
    </row>
    <row r="54" spans="1:3" ht="13" x14ac:dyDescent="0.3">
      <c r="A54" s="1" t="s">
        <v>50</v>
      </c>
      <c r="B54" s="3">
        <f>B52/B26</f>
        <v>482.43241705246919</v>
      </c>
      <c r="C54" s="18">
        <f>C52/B26</f>
        <v>504.36034375000008</v>
      </c>
    </row>
    <row r="56" spans="1:3" x14ac:dyDescent="0.25">
      <c r="B56" s="6">
        <f>1/B33*(B38+B44)</f>
        <v>0.1563011064718163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56"/>
  <sheetViews>
    <sheetView topLeftCell="A4" workbookViewId="0">
      <selection activeCell="B23" sqref="B23"/>
    </sheetView>
  </sheetViews>
  <sheetFormatPr baseColWidth="10" defaultRowHeight="12.5" x14ac:dyDescent="0.25"/>
  <cols>
    <col min="1" max="1" width="41.7265625" customWidth="1"/>
    <col min="2" max="3" width="13.26953125" bestFit="1" customWidth="1"/>
  </cols>
  <sheetData>
    <row r="1" spans="1:3" ht="15.5" x14ac:dyDescent="0.35">
      <c r="A1" s="4" t="s">
        <v>21</v>
      </c>
    </row>
    <row r="2" spans="1:3" ht="15.5" x14ac:dyDescent="0.35">
      <c r="A2" s="4"/>
    </row>
    <row r="3" spans="1:3" ht="13" x14ac:dyDescent="0.3">
      <c r="A3" s="1" t="s">
        <v>86</v>
      </c>
      <c r="B3" s="16">
        <v>0.08</v>
      </c>
    </row>
    <row r="4" spans="1:3" x14ac:dyDescent="0.25">
      <c r="B4" s="13" t="s">
        <v>84</v>
      </c>
      <c r="C4" s="13" t="s">
        <v>85</v>
      </c>
    </row>
    <row r="5" spans="1:3" ht="13" x14ac:dyDescent="0.3">
      <c r="A5" s="1" t="s">
        <v>22</v>
      </c>
      <c r="B5" s="17">
        <f>C5*1/(1+$B$3)</f>
        <v>23055.555555555555</v>
      </c>
      <c r="C5" s="14">
        <v>24900</v>
      </c>
    </row>
    <row r="6" spans="1:3" x14ac:dyDescent="0.25">
      <c r="A6" t="s">
        <v>77</v>
      </c>
      <c r="B6" s="17">
        <f t="shared" ref="B6:B18" si="0">C6*1/(1+$B$3)</f>
        <v>592.59259259259261</v>
      </c>
      <c r="C6" s="15">
        <v>640</v>
      </c>
    </row>
    <row r="7" spans="1:3" x14ac:dyDescent="0.25">
      <c r="A7" t="s">
        <v>82</v>
      </c>
      <c r="B7" s="17">
        <f t="shared" si="0"/>
        <v>620.37037037037032</v>
      </c>
      <c r="C7" s="15">
        <v>670</v>
      </c>
    </row>
    <row r="8" spans="1:3" x14ac:dyDescent="0.25">
      <c r="A8" t="s">
        <v>79</v>
      </c>
      <c r="B8" s="17">
        <f t="shared" si="0"/>
        <v>324.07407407407408</v>
      </c>
      <c r="C8" s="15">
        <v>350</v>
      </c>
    </row>
    <row r="9" spans="1:3" x14ac:dyDescent="0.25">
      <c r="A9" s="13" t="s">
        <v>90</v>
      </c>
      <c r="B9" s="17">
        <f t="shared" si="0"/>
        <v>907.40740740740739</v>
      </c>
      <c r="C9" s="15">
        <v>980</v>
      </c>
    </row>
    <row r="10" spans="1:3" x14ac:dyDescent="0.25">
      <c r="A10" s="13" t="s">
        <v>91</v>
      </c>
      <c r="B10" s="17">
        <f t="shared" si="0"/>
        <v>231.48148148148147</v>
      </c>
      <c r="C10" s="15">
        <v>250</v>
      </c>
    </row>
    <row r="11" spans="1:3" x14ac:dyDescent="0.25">
      <c r="A11" s="13" t="s">
        <v>92</v>
      </c>
      <c r="B11" s="17">
        <f t="shared" si="0"/>
        <v>361.11111111111109</v>
      </c>
      <c r="C11" s="15">
        <v>390</v>
      </c>
    </row>
    <row r="12" spans="1:3" x14ac:dyDescent="0.25">
      <c r="A12" s="13" t="s">
        <v>83</v>
      </c>
      <c r="B12" s="17">
        <f t="shared" si="0"/>
        <v>490.7407407407407</v>
      </c>
      <c r="C12" s="15">
        <v>530</v>
      </c>
    </row>
    <row r="13" spans="1:3" x14ac:dyDescent="0.25">
      <c r="A13" s="13" t="s">
        <v>93</v>
      </c>
      <c r="B13" s="17">
        <f t="shared" si="0"/>
        <v>592.59259259259261</v>
      </c>
      <c r="C13" s="15">
        <v>640</v>
      </c>
    </row>
    <row r="14" spans="1:3" x14ac:dyDescent="0.25">
      <c r="B14" s="17">
        <f t="shared" si="0"/>
        <v>0</v>
      </c>
      <c r="C14" s="15"/>
    </row>
    <row r="15" spans="1:3" x14ac:dyDescent="0.25">
      <c r="B15" s="17">
        <f t="shared" si="0"/>
        <v>0</v>
      </c>
      <c r="C15" s="15"/>
    </row>
    <row r="16" spans="1:3" x14ac:dyDescent="0.25">
      <c r="B16" s="17">
        <f t="shared" si="0"/>
        <v>0</v>
      </c>
      <c r="C16" s="15"/>
    </row>
    <row r="17" spans="1:3" x14ac:dyDescent="0.25">
      <c r="B17" s="17">
        <f t="shared" si="0"/>
        <v>0</v>
      </c>
      <c r="C17" s="15"/>
    </row>
    <row r="18" spans="1:3" x14ac:dyDescent="0.25">
      <c r="B18" s="17">
        <f t="shared" si="0"/>
        <v>0</v>
      </c>
      <c r="C18" s="15"/>
    </row>
    <row r="19" spans="1:3" ht="13" x14ac:dyDescent="0.3">
      <c r="A19" s="1" t="s">
        <v>56</v>
      </c>
      <c r="B19" s="3">
        <f>SUM(B6:B18)</f>
        <v>4120.3703703703704</v>
      </c>
    </row>
    <row r="20" spans="1:3" ht="13" x14ac:dyDescent="0.3">
      <c r="A20" s="1" t="s">
        <v>60</v>
      </c>
      <c r="B20" s="3">
        <f>(C5+B19)/100*C20</f>
        <v>0</v>
      </c>
      <c r="C20" s="7">
        <v>0</v>
      </c>
    </row>
    <row r="21" spans="1:3" ht="13" x14ac:dyDescent="0.3">
      <c r="A21" s="1"/>
      <c r="B21" s="3"/>
    </row>
    <row r="22" spans="1:3" ht="13" x14ac:dyDescent="0.3">
      <c r="A22" s="1" t="s">
        <v>59</v>
      </c>
      <c r="B22" s="3">
        <f>(B5+B19-B20)</f>
        <v>27175.925925925927</v>
      </c>
    </row>
    <row r="23" spans="1:3" x14ac:dyDescent="0.25">
      <c r="B23" s="2"/>
    </row>
    <row r="24" spans="1:3" ht="13" x14ac:dyDescent="0.3">
      <c r="A24" s="1" t="s">
        <v>25</v>
      </c>
      <c r="B24" s="3">
        <f>(C5+(B19/2))/100*B29</f>
        <v>10649.273148148148</v>
      </c>
    </row>
    <row r="25" spans="1:3" x14ac:dyDescent="0.25">
      <c r="A25" s="7" t="s">
        <v>26</v>
      </c>
      <c r="B25" s="7">
        <v>5</v>
      </c>
    </row>
    <row r="26" spans="1:3" x14ac:dyDescent="0.25">
      <c r="A26" s="7" t="s">
        <v>27</v>
      </c>
      <c r="B26" s="7">
        <v>48</v>
      </c>
    </row>
    <row r="27" spans="1:3" x14ac:dyDescent="0.25">
      <c r="A27" s="7" t="s">
        <v>23</v>
      </c>
      <c r="B27" s="8">
        <v>10000</v>
      </c>
    </row>
    <row r="28" spans="1:3" x14ac:dyDescent="0.25">
      <c r="A28" s="7" t="s">
        <v>57</v>
      </c>
      <c r="B28" s="9">
        <v>15000</v>
      </c>
    </row>
    <row r="29" spans="1:3" x14ac:dyDescent="0.25">
      <c r="A29" s="7" t="s">
        <v>58</v>
      </c>
      <c r="B29" s="7">
        <v>39.5</v>
      </c>
    </row>
    <row r="31" spans="1:3" x14ac:dyDescent="0.25">
      <c r="A31" t="s">
        <v>22</v>
      </c>
      <c r="B31" s="2">
        <f>VALUE(B22)</f>
        <v>27175.925925925927</v>
      </c>
    </row>
    <row r="32" spans="1:3" x14ac:dyDescent="0.25">
      <c r="A32" t="s">
        <v>23</v>
      </c>
      <c r="B32" s="5">
        <f>VALUE(B27)</f>
        <v>10000</v>
      </c>
    </row>
    <row r="33" spans="1:3" x14ac:dyDescent="0.25">
      <c r="A33" t="s">
        <v>24</v>
      </c>
      <c r="B33" s="2">
        <f>B31-B32</f>
        <v>17175.925925925927</v>
      </c>
    </row>
    <row r="34" spans="1:3" x14ac:dyDescent="0.25">
      <c r="A34" t="s">
        <v>25</v>
      </c>
      <c r="B34" s="5">
        <f>VALUE(B24)</f>
        <v>10649.273148148148</v>
      </c>
    </row>
    <row r="35" spans="1:3" ht="13" x14ac:dyDescent="0.3">
      <c r="A35" s="1" t="s">
        <v>29</v>
      </c>
      <c r="B35" s="3">
        <f>B33-B34</f>
        <v>6526.6527777777792</v>
      </c>
    </row>
    <row r="38" spans="1:3" ht="13" x14ac:dyDescent="0.3">
      <c r="A38" s="1" t="s">
        <v>28</v>
      </c>
      <c r="B38" s="2">
        <f>B35*B25*B26/2/12/100</f>
        <v>652.66527777777787</v>
      </c>
    </row>
    <row r="39" spans="1:3" x14ac:dyDescent="0.25">
      <c r="A39" t="s">
        <v>30</v>
      </c>
    </row>
    <row r="40" spans="1:3" x14ac:dyDescent="0.25">
      <c r="A40" t="s">
        <v>31</v>
      </c>
    </row>
    <row r="42" spans="1:3" ht="13" x14ac:dyDescent="0.3">
      <c r="A42" s="1" t="s">
        <v>32</v>
      </c>
    </row>
    <row r="43" spans="1:3" x14ac:dyDescent="0.25">
      <c r="A43" t="s">
        <v>33</v>
      </c>
    </row>
    <row r="44" spans="1:3" x14ac:dyDescent="0.25">
      <c r="A44" t="s">
        <v>34</v>
      </c>
      <c r="B44" s="2">
        <f>B24*B25*B26/12/100</f>
        <v>2129.8546296296295</v>
      </c>
    </row>
    <row r="46" spans="1:3" ht="13" x14ac:dyDescent="0.3">
      <c r="A46" s="1" t="s">
        <v>35</v>
      </c>
      <c r="B46" s="3">
        <f>SUM(B35:B45)</f>
        <v>9309.1726851851872</v>
      </c>
    </row>
    <row r="47" spans="1:3" x14ac:dyDescent="0.25">
      <c r="B47" s="2"/>
    </row>
    <row r="48" spans="1:3" ht="13" x14ac:dyDescent="0.3">
      <c r="A48" s="1" t="s">
        <v>36</v>
      </c>
      <c r="B48" s="20" t="s">
        <v>87</v>
      </c>
      <c r="C48" s="20" t="s">
        <v>88</v>
      </c>
    </row>
    <row r="49" spans="1:3" ht="13" x14ac:dyDescent="0.3">
      <c r="A49" t="s">
        <v>37</v>
      </c>
      <c r="B49" s="10">
        <f>B46/B26</f>
        <v>193.94109760802473</v>
      </c>
      <c r="C49" s="19">
        <f>B49/1*(1+B3)</f>
        <v>209.45638541666673</v>
      </c>
    </row>
    <row r="51" spans="1:3" x14ac:dyDescent="0.25">
      <c r="A51" t="s">
        <v>38</v>
      </c>
    </row>
    <row r="52" spans="1:3" ht="13" x14ac:dyDescent="0.3">
      <c r="A52" t="s">
        <v>39</v>
      </c>
      <c r="B52" s="3">
        <f>B49*B26+B27</f>
        <v>19309.172685185185</v>
      </c>
      <c r="C52" s="18">
        <f>C49*B26+B27</f>
        <v>20053.906500000005</v>
      </c>
    </row>
    <row r="54" spans="1:3" ht="13" x14ac:dyDescent="0.3">
      <c r="A54" s="1" t="s">
        <v>50</v>
      </c>
      <c r="B54" s="3">
        <f>B52/B26</f>
        <v>402.27443094135805</v>
      </c>
      <c r="C54" s="18">
        <f>C52/B26</f>
        <v>417.78971875000008</v>
      </c>
    </row>
    <row r="56" spans="1:3" x14ac:dyDescent="0.25">
      <c r="B56" s="6"/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6"/>
  <sheetViews>
    <sheetView topLeftCell="A3" workbookViewId="0">
      <selection activeCell="B23" sqref="B23"/>
    </sheetView>
  </sheetViews>
  <sheetFormatPr baseColWidth="10" defaultRowHeight="12.5" x14ac:dyDescent="0.25"/>
  <cols>
    <col min="1" max="1" width="41.7265625" customWidth="1"/>
    <col min="2" max="3" width="13.26953125" bestFit="1" customWidth="1"/>
  </cols>
  <sheetData>
    <row r="1" spans="1:3" ht="15.5" x14ac:dyDescent="0.35">
      <c r="A1" s="4" t="s">
        <v>21</v>
      </c>
    </row>
    <row r="2" spans="1:3" ht="15.5" x14ac:dyDescent="0.35">
      <c r="A2" s="4"/>
    </row>
    <row r="3" spans="1:3" ht="13" x14ac:dyDescent="0.3">
      <c r="A3" s="1" t="s">
        <v>86</v>
      </c>
      <c r="B3" s="16">
        <v>0.08</v>
      </c>
    </row>
    <row r="4" spans="1:3" x14ac:dyDescent="0.25">
      <c r="B4" s="13" t="s">
        <v>84</v>
      </c>
      <c r="C4" s="13" t="s">
        <v>85</v>
      </c>
    </row>
    <row r="5" spans="1:3" ht="13" x14ac:dyDescent="0.3">
      <c r="A5" s="1" t="s">
        <v>22</v>
      </c>
      <c r="B5" s="17">
        <f>C5*1/(1+$B$3)</f>
        <v>18324.074074074073</v>
      </c>
      <c r="C5" s="14">
        <v>19790</v>
      </c>
    </row>
    <row r="6" spans="1:3" x14ac:dyDescent="0.25">
      <c r="A6" s="13" t="s">
        <v>95</v>
      </c>
      <c r="B6" s="17">
        <f t="shared" ref="B6:B18" si="0">C6*1/(1+$B$3)</f>
        <v>740.74074074074065</v>
      </c>
      <c r="C6" s="15">
        <v>800</v>
      </c>
    </row>
    <row r="7" spans="1:3" x14ac:dyDescent="0.25">
      <c r="A7" s="13" t="s">
        <v>96</v>
      </c>
      <c r="B7" s="17">
        <f t="shared" si="0"/>
        <v>555.55555555555554</v>
      </c>
      <c r="C7" s="15">
        <v>600</v>
      </c>
    </row>
    <row r="8" spans="1:3" x14ac:dyDescent="0.25">
      <c r="A8" s="13" t="s">
        <v>97</v>
      </c>
      <c r="B8" s="17">
        <f t="shared" si="0"/>
        <v>787.03703703703695</v>
      </c>
      <c r="C8" s="15">
        <v>850</v>
      </c>
    </row>
    <row r="9" spans="1:3" x14ac:dyDescent="0.25">
      <c r="A9" s="13" t="s">
        <v>98</v>
      </c>
      <c r="B9" s="17">
        <f t="shared" si="0"/>
        <v>509.25925925925924</v>
      </c>
      <c r="C9" s="15">
        <v>550</v>
      </c>
    </row>
    <row r="10" spans="1:3" x14ac:dyDescent="0.25">
      <c r="B10" s="17">
        <f t="shared" si="0"/>
        <v>0</v>
      </c>
      <c r="C10" s="15"/>
    </row>
    <row r="11" spans="1:3" x14ac:dyDescent="0.25">
      <c r="B11" s="17">
        <f t="shared" si="0"/>
        <v>0</v>
      </c>
      <c r="C11" s="15"/>
    </row>
    <row r="12" spans="1:3" x14ac:dyDescent="0.25">
      <c r="B12" s="17">
        <f t="shared" si="0"/>
        <v>0</v>
      </c>
      <c r="C12" s="15"/>
    </row>
    <row r="13" spans="1:3" x14ac:dyDescent="0.25">
      <c r="B13" s="17">
        <f t="shared" si="0"/>
        <v>0</v>
      </c>
      <c r="C13" s="15"/>
    </row>
    <row r="14" spans="1:3" x14ac:dyDescent="0.25">
      <c r="B14" s="17">
        <f t="shared" si="0"/>
        <v>0</v>
      </c>
      <c r="C14" s="15"/>
    </row>
    <row r="15" spans="1:3" x14ac:dyDescent="0.25">
      <c r="B15" s="17">
        <f t="shared" si="0"/>
        <v>0</v>
      </c>
      <c r="C15" s="15"/>
    </row>
    <row r="16" spans="1:3" x14ac:dyDescent="0.25">
      <c r="B16" s="17">
        <f t="shared" si="0"/>
        <v>0</v>
      </c>
      <c r="C16" s="15"/>
    </row>
    <row r="17" spans="1:3" x14ac:dyDescent="0.25">
      <c r="B17" s="17">
        <f t="shared" si="0"/>
        <v>0</v>
      </c>
      <c r="C17" s="15"/>
    </row>
    <row r="18" spans="1:3" x14ac:dyDescent="0.25">
      <c r="B18" s="17">
        <f t="shared" si="0"/>
        <v>0</v>
      </c>
      <c r="C18" s="15"/>
    </row>
    <row r="19" spans="1:3" ht="13" x14ac:dyDescent="0.3">
      <c r="A19" s="1" t="s">
        <v>56</v>
      </c>
      <c r="B19" s="3">
        <f>SUM(B6:B18)</f>
        <v>2592.5925925925922</v>
      </c>
    </row>
    <row r="20" spans="1:3" ht="13" x14ac:dyDescent="0.3">
      <c r="A20" s="1" t="s">
        <v>60</v>
      </c>
      <c r="B20" s="3">
        <f>(C5+B19)/100*C20</f>
        <v>0</v>
      </c>
      <c r="C20" s="7">
        <v>0</v>
      </c>
    </row>
    <row r="21" spans="1:3" ht="13" x14ac:dyDescent="0.3">
      <c r="A21" s="1"/>
      <c r="B21" s="3"/>
    </row>
    <row r="22" spans="1:3" ht="13" x14ac:dyDescent="0.3">
      <c r="A22" s="1" t="s">
        <v>59</v>
      </c>
      <c r="B22" s="3">
        <f>(B5+B19-B20)</f>
        <v>20916.666666666664</v>
      </c>
    </row>
    <row r="23" spans="1:3" x14ac:dyDescent="0.25">
      <c r="B23" s="2"/>
    </row>
    <row r="24" spans="1:3" ht="13" x14ac:dyDescent="0.3">
      <c r="A24" s="1" t="s">
        <v>25</v>
      </c>
      <c r="B24" s="3">
        <f>(C5+(B19/2))/100*B29</f>
        <v>8329.0870370370376</v>
      </c>
    </row>
    <row r="25" spans="1:3" x14ac:dyDescent="0.25">
      <c r="A25" s="7" t="s">
        <v>26</v>
      </c>
      <c r="B25" s="7">
        <v>5</v>
      </c>
    </row>
    <row r="26" spans="1:3" x14ac:dyDescent="0.25">
      <c r="A26" s="7" t="s">
        <v>27</v>
      </c>
      <c r="B26" s="7">
        <v>48</v>
      </c>
    </row>
    <row r="27" spans="1:3" x14ac:dyDescent="0.25">
      <c r="A27" s="7" t="s">
        <v>23</v>
      </c>
      <c r="B27" s="8">
        <v>10000</v>
      </c>
    </row>
    <row r="28" spans="1:3" x14ac:dyDescent="0.25">
      <c r="A28" s="7" t="s">
        <v>57</v>
      </c>
      <c r="B28" s="9">
        <v>15000</v>
      </c>
    </row>
    <row r="29" spans="1:3" x14ac:dyDescent="0.25">
      <c r="A29" s="7" t="s">
        <v>58</v>
      </c>
      <c r="B29" s="7">
        <v>39.5</v>
      </c>
    </row>
    <row r="31" spans="1:3" x14ac:dyDescent="0.25">
      <c r="A31" t="s">
        <v>22</v>
      </c>
      <c r="B31" s="2">
        <f>VALUE(B22)</f>
        <v>20916.666666666664</v>
      </c>
    </row>
    <row r="32" spans="1:3" x14ac:dyDescent="0.25">
      <c r="A32" t="s">
        <v>23</v>
      </c>
      <c r="B32" s="5">
        <f>VALUE(B27)</f>
        <v>10000</v>
      </c>
    </row>
    <row r="33" spans="1:3" x14ac:dyDescent="0.25">
      <c r="A33" t="s">
        <v>24</v>
      </c>
      <c r="B33" s="2">
        <f>B31-B32</f>
        <v>10916.666666666664</v>
      </c>
    </row>
    <row r="34" spans="1:3" x14ac:dyDescent="0.25">
      <c r="A34" t="s">
        <v>25</v>
      </c>
      <c r="B34" s="5">
        <f>VALUE(B24)</f>
        <v>8329.0870370370376</v>
      </c>
    </row>
    <row r="35" spans="1:3" ht="13" x14ac:dyDescent="0.3">
      <c r="A35" s="1" t="s">
        <v>29</v>
      </c>
      <c r="B35" s="3">
        <f>B33-B34</f>
        <v>2587.5796296296267</v>
      </c>
    </row>
    <row r="38" spans="1:3" ht="13" x14ac:dyDescent="0.3">
      <c r="A38" s="1" t="s">
        <v>28</v>
      </c>
      <c r="B38" s="2">
        <f>B35*B25*B26/2/12/100</f>
        <v>258.75796296296267</v>
      </c>
    </row>
    <row r="39" spans="1:3" x14ac:dyDescent="0.25">
      <c r="A39" t="s">
        <v>30</v>
      </c>
    </row>
    <row r="40" spans="1:3" x14ac:dyDescent="0.25">
      <c r="A40" t="s">
        <v>31</v>
      </c>
    </row>
    <row r="42" spans="1:3" ht="13" x14ac:dyDescent="0.3">
      <c r="A42" s="1" t="s">
        <v>32</v>
      </c>
    </row>
    <row r="43" spans="1:3" x14ac:dyDescent="0.25">
      <c r="A43" t="s">
        <v>33</v>
      </c>
    </row>
    <row r="44" spans="1:3" x14ac:dyDescent="0.25">
      <c r="A44" t="s">
        <v>34</v>
      </c>
      <c r="B44" s="2">
        <f>B24*B25*B26/12/100</f>
        <v>1665.8174074074077</v>
      </c>
    </row>
    <row r="46" spans="1:3" ht="13" x14ac:dyDescent="0.3">
      <c r="A46" s="1" t="s">
        <v>35</v>
      </c>
      <c r="B46" s="3">
        <f>SUM(B35:B45)</f>
        <v>4512.154999999997</v>
      </c>
    </row>
    <row r="47" spans="1:3" x14ac:dyDescent="0.25">
      <c r="B47" s="2"/>
    </row>
    <row r="48" spans="1:3" ht="13" x14ac:dyDescent="0.3">
      <c r="A48" s="1" t="s">
        <v>36</v>
      </c>
      <c r="B48" s="20" t="s">
        <v>87</v>
      </c>
      <c r="C48" s="20" t="s">
        <v>88</v>
      </c>
    </row>
    <row r="49" spans="1:3" ht="13" x14ac:dyDescent="0.3">
      <c r="A49" t="s">
        <v>37</v>
      </c>
      <c r="B49" s="10">
        <f>B46/B26</f>
        <v>94.0032291666666</v>
      </c>
      <c r="C49" s="19">
        <f>B49/1*(1+B3)</f>
        <v>101.52348749999993</v>
      </c>
    </row>
    <row r="51" spans="1:3" x14ac:dyDescent="0.25">
      <c r="A51" t="s">
        <v>38</v>
      </c>
    </row>
    <row r="52" spans="1:3" ht="13" x14ac:dyDescent="0.3">
      <c r="A52" t="s">
        <v>39</v>
      </c>
      <c r="B52" s="3">
        <f>B49*B26+B27</f>
        <v>14512.154999999997</v>
      </c>
      <c r="C52" s="18">
        <f>C49*B26+B27</f>
        <v>14873.127399999998</v>
      </c>
    </row>
    <row r="54" spans="1:3" ht="13" x14ac:dyDescent="0.3">
      <c r="A54" s="1" t="s">
        <v>50</v>
      </c>
      <c r="B54" s="3">
        <f>B52/B26</f>
        <v>302.33656249999996</v>
      </c>
      <c r="C54" s="18">
        <f>C52/B26</f>
        <v>309.8568208333333</v>
      </c>
    </row>
    <row r="56" spans="1:3" x14ac:dyDescent="0.25">
      <c r="B56" s="6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6"/>
  <sheetViews>
    <sheetView topLeftCell="A11" workbookViewId="0">
      <selection activeCell="F23" sqref="F23"/>
    </sheetView>
  </sheetViews>
  <sheetFormatPr baseColWidth="10" defaultRowHeight="12.5" x14ac:dyDescent="0.25"/>
  <cols>
    <col min="1" max="1" width="41.7265625" customWidth="1"/>
    <col min="2" max="3" width="13.26953125" bestFit="1" customWidth="1"/>
    <col min="4" max="5" width="13" bestFit="1" customWidth="1"/>
  </cols>
  <sheetData>
    <row r="1" spans="1:3" ht="15.5" x14ac:dyDescent="0.35">
      <c r="A1" s="4" t="s">
        <v>21</v>
      </c>
    </row>
    <row r="2" spans="1:3" ht="15.5" x14ac:dyDescent="0.35">
      <c r="A2" s="4"/>
    </row>
    <row r="3" spans="1:3" ht="13" x14ac:dyDescent="0.3">
      <c r="A3" s="1" t="s">
        <v>86</v>
      </c>
      <c r="B3" s="16">
        <v>0.08</v>
      </c>
    </row>
    <row r="4" spans="1:3" x14ac:dyDescent="0.25">
      <c r="B4" s="13" t="s">
        <v>84</v>
      </c>
      <c r="C4" s="13" t="s">
        <v>85</v>
      </c>
    </row>
    <row r="5" spans="1:3" ht="13" x14ac:dyDescent="0.3">
      <c r="A5" s="1" t="s">
        <v>22</v>
      </c>
      <c r="B5" s="17">
        <f>C5*1/(1+$B$3)</f>
        <v>47361.111111111109</v>
      </c>
      <c r="C5" s="14">
        <v>51150</v>
      </c>
    </row>
    <row r="6" spans="1:3" x14ac:dyDescent="0.25">
      <c r="A6" t="s">
        <v>114</v>
      </c>
      <c r="B6" s="17">
        <f t="shared" ref="B6:B18" si="0">C6*1/(1+$B$3)</f>
        <v>324.07407407407408</v>
      </c>
      <c r="C6" s="15">
        <v>350</v>
      </c>
    </row>
    <row r="7" spans="1:3" x14ac:dyDescent="0.25">
      <c r="A7" s="13" t="s">
        <v>115</v>
      </c>
      <c r="B7" s="17">
        <f t="shared" si="0"/>
        <v>1435.185185185185</v>
      </c>
      <c r="C7" s="15">
        <v>1550</v>
      </c>
    </row>
    <row r="8" spans="1:3" x14ac:dyDescent="0.25">
      <c r="A8" s="13" t="s">
        <v>116</v>
      </c>
      <c r="B8" s="17">
        <f t="shared" si="0"/>
        <v>1659.2592592592591</v>
      </c>
      <c r="C8" s="15">
        <v>1792</v>
      </c>
    </row>
    <row r="9" spans="1:3" x14ac:dyDescent="0.25">
      <c r="A9" s="13" t="s">
        <v>117</v>
      </c>
      <c r="B9" s="17">
        <f t="shared" si="0"/>
        <v>124.99999999999999</v>
      </c>
      <c r="C9" s="15">
        <v>135</v>
      </c>
    </row>
    <row r="10" spans="1:3" x14ac:dyDescent="0.25">
      <c r="A10" s="13" t="s">
        <v>118</v>
      </c>
      <c r="B10" s="17">
        <f t="shared" si="0"/>
        <v>1620.3703703703702</v>
      </c>
      <c r="C10" s="15">
        <v>1750</v>
      </c>
    </row>
    <row r="11" spans="1:3" x14ac:dyDescent="0.25">
      <c r="A11" s="13" t="s">
        <v>119</v>
      </c>
      <c r="B11" s="17">
        <f t="shared" si="0"/>
        <v>74.074074074074076</v>
      </c>
      <c r="C11" s="15">
        <v>80</v>
      </c>
    </row>
    <row r="12" spans="1:3" x14ac:dyDescent="0.25">
      <c r="A12" s="13" t="s">
        <v>120</v>
      </c>
      <c r="B12" s="17">
        <f t="shared" si="0"/>
        <v>194.44444444444443</v>
      </c>
      <c r="C12" s="15">
        <v>210</v>
      </c>
    </row>
    <row r="13" spans="1:3" x14ac:dyDescent="0.25">
      <c r="A13" s="13" t="s">
        <v>121</v>
      </c>
      <c r="B13" s="17">
        <f t="shared" si="0"/>
        <v>203.7037037037037</v>
      </c>
      <c r="C13" s="15">
        <v>220</v>
      </c>
    </row>
    <row r="14" spans="1:3" x14ac:dyDescent="0.25">
      <c r="A14" s="13" t="s">
        <v>122</v>
      </c>
      <c r="B14" s="17">
        <f t="shared" si="0"/>
        <v>74.074074074074076</v>
      </c>
      <c r="C14" s="15">
        <v>80</v>
      </c>
    </row>
    <row r="15" spans="1:3" x14ac:dyDescent="0.25">
      <c r="A15" s="13" t="s">
        <v>123</v>
      </c>
      <c r="B15" s="17">
        <f t="shared" si="0"/>
        <v>0</v>
      </c>
      <c r="C15" s="15">
        <v>0</v>
      </c>
    </row>
    <row r="16" spans="1:3" x14ac:dyDescent="0.25">
      <c r="A16" s="13" t="s">
        <v>124</v>
      </c>
      <c r="B16" s="17">
        <f t="shared" si="0"/>
        <v>0</v>
      </c>
      <c r="C16" s="15">
        <v>0</v>
      </c>
    </row>
    <row r="17" spans="1:4" x14ac:dyDescent="0.25">
      <c r="B17" s="17">
        <f t="shared" si="0"/>
        <v>0</v>
      </c>
      <c r="C17" s="15"/>
    </row>
    <row r="18" spans="1:4" x14ac:dyDescent="0.25">
      <c r="B18" s="17">
        <f t="shared" si="0"/>
        <v>0</v>
      </c>
      <c r="C18" s="15"/>
    </row>
    <row r="19" spans="1:4" ht="13" x14ac:dyDescent="0.3">
      <c r="A19" s="1" t="s">
        <v>56</v>
      </c>
      <c r="B19" s="3">
        <f>SUM(B6:B18)</f>
        <v>5710.1851851851843</v>
      </c>
      <c r="D19" s="3">
        <f>SUM(C5:C18)</f>
        <v>57317</v>
      </c>
    </row>
    <row r="20" spans="1:4" ht="13" x14ac:dyDescent="0.3">
      <c r="A20" s="1" t="s">
        <v>60</v>
      </c>
      <c r="B20" s="3">
        <f>(C5+B19)/100*C20</f>
        <v>3411.6111111111113</v>
      </c>
      <c r="C20" s="7">
        <v>6</v>
      </c>
    </row>
    <row r="21" spans="1:4" ht="13" x14ac:dyDescent="0.3">
      <c r="A21" s="1"/>
      <c r="B21" s="28" t="s">
        <v>84</v>
      </c>
      <c r="C21" s="21" t="s">
        <v>85</v>
      </c>
    </row>
    <row r="22" spans="1:4" ht="13" x14ac:dyDescent="0.3">
      <c r="A22" s="1" t="s">
        <v>59</v>
      </c>
      <c r="B22" s="28">
        <f>(B5+B19-B20)</f>
        <v>49659.685185185182</v>
      </c>
      <c r="C22" s="28">
        <f>B22/100*108</f>
        <v>53632.46</v>
      </c>
    </row>
    <row r="23" spans="1:4" x14ac:dyDescent="0.25">
      <c r="B23" s="2"/>
    </row>
    <row r="24" spans="1:4" ht="13" x14ac:dyDescent="0.3">
      <c r="A24" s="1" t="s">
        <v>25</v>
      </c>
      <c r="B24" s="3">
        <f>(C5+(B19/2))/100*B29</f>
        <v>21332.011574074073</v>
      </c>
    </row>
    <row r="25" spans="1:4" x14ac:dyDescent="0.25">
      <c r="A25" s="7" t="s">
        <v>26</v>
      </c>
      <c r="B25" s="7">
        <v>3.5</v>
      </c>
    </row>
    <row r="26" spans="1:4" x14ac:dyDescent="0.25">
      <c r="A26" s="7" t="s">
        <v>27</v>
      </c>
      <c r="B26" s="7">
        <v>48</v>
      </c>
    </row>
    <row r="27" spans="1:4" x14ac:dyDescent="0.25">
      <c r="A27" s="7" t="s">
        <v>23</v>
      </c>
      <c r="B27" s="8">
        <v>10000</v>
      </c>
    </row>
    <row r="28" spans="1:4" x14ac:dyDescent="0.25">
      <c r="A28" s="7" t="s">
        <v>57</v>
      </c>
      <c r="B28" s="9">
        <v>15000</v>
      </c>
    </row>
    <row r="29" spans="1:4" x14ac:dyDescent="0.25">
      <c r="A29" s="7" t="s">
        <v>58</v>
      </c>
      <c r="B29" s="7">
        <v>39.5</v>
      </c>
    </row>
    <row r="31" spans="1:4" x14ac:dyDescent="0.25">
      <c r="A31" t="s">
        <v>22</v>
      </c>
      <c r="B31" s="2">
        <f>VALUE(B22)</f>
        <v>49659.685185185182</v>
      </c>
    </row>
    <row r="32" spans="1:4" x14ac:dyDescent="0.25">
      <c r="A32" t="s">
        <v>23</v>
      </c>
      <c r="B32" s="5">
        <f>VALUE(B27)</f>
        <v>10000</v>
      </c>
    </row>
    <row r="33" spans="1:3" x14ac:dyDescent="0.25">
      <c r="A33" t="s">
        <v>24</v>
      </c>
      <c r="B33" s="2">
        <f>B31-B32</f>
        <v>39659.685185185182</v>
      </c>
    </row>
    <row r="34" spans="1:3" x14ac:dyDescent="0.25">
      <c r="A34" t="s">
        <v>25</v>
      </c>
      <c r="B34" s="5">
        <f>VALUE(B24)</f>
        <v>21332.011574074073</v>
      </c>
    </row>
    <row r="35" spans="1:3" ht="13" x14ac:dyDescent="0.3">
      <c r="A35" s="1" t="s">
        <v>29</v>
      </c>
      <c r="B35" s="3">
        <f>B33-B34</f>
        <v>18327.673611111109</v>
      </c>
    </row>
    <row r="38" spans="1:3" ht="13" x14ac:dyDescent="0.3">
      <c r="A38" s="1" t="s">
        <v>28</v>
      </c>
      <c r="B38" s="2">
        <f>B35*B25*B26/2/12/100</f>
        <v>1282.9371527777776</v>
      </c>
    </row>
    <row r="39" spans="1:3" x14ac:dyDescent="0.25">
      <c r="A39" t="s">
        <v>30</v>
      </c>
    </row>
    <row r="40" spans="1:3" x14ac:dyDescent="0.25">
      <c r="A40" t="s">
        <v>31</v>
      </c>
    </row>
    <row r="42" spans="1:3" ht="13" x14ac:dyDescent="0.3">
      <c r="A42" s="1" t="s">
        <v>32</v>
      </c>
    </row>
    <row r="43" spans="1:3" x14ac:dyDescent="0.25">
      <c r="A43" t="s">
        <v>33</v>
      </c>
    </row>
    <row r="44" spans="1:3" x14ac:dyDescent="0.25">
      <c r="A44" t="s">
        <v>34</v>
      </c>
      <c r="B44" s="2">
        <f>B24*B25*B26/12/100</f>
        <v>2986.4816203703704</v>
      </c>
    </row>
    <row r="46" spans="1:3" ht="13" x14ac:dyDescent="0.3">
      <c r="A46" s="1" t="s">
        <v>35</v>
      </c>
      <c r="B46" s="3">
        <f>SUM(B35:B45)</f>
        <v>22597.092384259257</v>
      </c>
    </row>
    <row r="47" spans="1:3" x14ac:dyDescent="0.25">
      <c r="B47" s="2"/>
    </row>
    <row r="48" spans="1:3" ht="13" x14ac:dyDescent="0.3">
      <c r="A48" s="1" t="s">
        <v>36</v>
      </c>
      <c r="B48" s="20" t="s">
        <v>87</v>
      </c>
      <c r="C48" s="20" t="s">
        <v>88</v>
      </c>
    </row>
    <row r="49" spans="1:3" ht="13" x14ac:dyDescent="0.3">
      <c r="A49" t="s">
        <v>37</v>
      </c>
      <c r="B49" s="10">
        <f>B46/B26</f>
        <v>470.77275800540116</v>
      </c>
      <c r="C49" s="19">
        <f>B49/1*(1+B3)</f>
        <v>508.43457864583331</v>
      </c>
    </row>
    <row r="51" spans="1:3" x14ac:dyDescent="0.25">
      <c r="A51" t="s">
        <v>38</v>
      </c>
    </row>
    <row r="52" spans="1:3" ht="13" x14ac:dyDescent="0.3">
      <c r="A52" t="s">
        <v>39</v>
      </c>
      <c r="B52" s="3">
        <f>B49*B26+B27</f>
        <v>32597.092384259257</v>
      </c>
      <c r="C52" s="18">
        <f>C49*B26+B27</f>
        <v>34404.859774999997</v>
      </c>
    </row>
    <row r="54" spans="1:3" ht="13" x14ac:dyDescent="0.3">
      <c r="A54" s="1" t="s">
        <v>50</v>
      </c>
      <c r="B54" s="3">
        <f>B52/B26</f>
        <v>679.10609133873447</v>
      </c>
      <c r="C54" s="18">
        <f>C52/B26</f>
        <v>716.76791197916657</v>
      </c>
    </row>
    <row r="56" spans="1:3" x14ac:dyDescent="0.25">
      <c r="B56" s="6">
        <f>1/B33*(B38+B44)</f>
        <v>0.10765135308595397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6"/>
  <sheetViews>
    <sheetView topLeftCell="A24" workbookViewId="0">
      <selection activeCell="A36" sqref="A36:C40"/>
    </sheetView>
  </sheetViews>
  <sheetFormatPr baseColWidth="10" defaultRowHeight="12.5" x14ac:dyDescent="0.25"/>
  <cols>
    <col min="1" max="1" width="41.7265625" customWidth="1"/>
    <col min="2" max="2" width="18.453125" bestFit="1" customWidth="1"/>
    <col min="4" max="4" width="17.26953125" bestFit="1" customWidth="1"/>
  </cols>
  <sheetData>
    <row r="1" spans="1:2" ht="15.5" x14ac:dyDescent="0.35">
      <c r="A1" s="4" t="s">
        <v>21</v>
      </c>
    </row>
    <row r="3" spans="1:2" x14ac:dyDescent="0.25">
      <c r="A3" t="s">
        <v>22</v>
      </c>
      <c r="B3" s="2">
        <v>31500</v>
      </c>
    </row>
    <row r="4" spans="1:2" x14ac:dyDescent="0.25">
      <c r="A4" t="s">
        <v>25</v>
      </c>
      <c r="B4" s="2">
        <v>6000</v>
      </c>
    </row>
    <row r="5" spans="1:2" x14ac:dyDescent="0.25">
      <c r="A5" t="s">
        <v>26</v>
      </c>
      <c r="B5">
        <v>6</v>
      </c>
    </row>
    <row r="6" spans="1:2" x14ac:dyDescent="0.25">
      <c r="A6" t="s">
        <v>27</v>
      </c>
      <c r="B6">
        <v>48</v>
      </c>
    </row>
    <row r="7" spans="1:2" x14ac:dyDescent="0.25">
      <c r="A7" t="s">
        <v>23</v>
      </c>
      <c r="B7" s="2">
        <v>5000</v>
      </c>
    </row>
    <row r="11" spans="1:2" x14ac:dyDescent="0.25">
      <c r="A11" t="s">
        <v>22</v>
      </c>
      <c r="B11" s="2">
        <f>VALUE(B3)</f>
        <v>31500</v>
      </c>
    </row>
    <row r="12" spans="1:2" x14ac:dyDescent="0.25">
      <c r="A12" t="s">
        <v>23</v>
      </c>
      <c r="B12" s="5">
        <f>VALUE(B7)</f>
        <v>5000</v>
      </c>
    </row>
    <row r="13" spans="1:2" x14ac:dyDescent="0.25">
      <c r="A13" t="s">
        <v>24</v>
      </c>
      <c r="B13" s="2">
        <f>B11-B12</f>
        <v>26500</v>
      </c>
    </row>
    <row r="14" spans="1:2" x14ac:dyDescent="0.25">
      <c r="A14" t="s">
        <v>25</v>
      </c>
      <c r="B14" s="5">
        <f>$B$4</f>
        <v>6000</v>
      </c>
    </row>
    <row r="15" spans="1:2" ht="13" x14ac:dyDescent="0.3">
      <c r="A15" s="1" t="s">
        <v>29</v>
      </c>
      <c r="B15" s="2">
        <f>B13-B14</f>
        <v>20500</v>
      </c>
    </row>
    <row r="18" spans="1:5" ht="13" x14ac:dyDescent="0.3">
      <c r="A18" s="1" t="s">
        <v>28</v>
      </c>
      <c r="B18" s="2">
        <f>B15*B5*B6/2/12/100</f>
        <v>2460</v>
      </c>
    </row>
    <row r="19" spans="1:5" x14ac:dyDescent="0.25">
      <c r="A19" t="s">
        <v>30</v>
      </c>
    </row>
    <row r="20" spans="1:5" x14ac:dyDescent="0.25">
      <c r="A20" t="s">
        <v>31</v>
      </c>
    </row>
    <row r="22" spans="1:5" ht="13" x14ac:dyDescent="0.3">
      <c r="A22" s="1" t="s">
        <v>32</v>
      </c>
    </row>
    <row r="23" spans="1:5" x14ac:dyDescent="0.25">
      <c r="A23" t="s">
        <v>33</v>
      </c>
    </row>
    <row r="24" spans="1:5" x14ac:dyDescent="0.25">
      <c r="A24" t="s">
        <v>34</v>
      </c>
      <c r="B24" s="2">
        <f>B4*B5*B6/12/100</f>
        <v>1440</v>
      </c>
    </row>
    <row r="26" spans="1:5" ht="13" x14ac:dyDescent="0.3">
      <c r="A26" s="1" t="s">
        <v>35</v>
      </c>
      <c r="B26" s="3">
        <f>SUM(B15:B25)</f>
        <v>24400</v>
      </c>
    </row>
    <row r="27" spans="1:5" x14ac:dyDescent="0.25">
      <c r="B27" s="2"/>
    </row>
    <row r="28" spans="1:5" ht="13" x14ac:dyDescent="0.3">
      <c r="A28" s="1" t="s">
        <v>36</v>
      </c>
    </row>
    <row r="29" spans="1:5" ht="13" x14ac:dyDescent="0.3">
      <c r="A29" t="s">
        <v>37</v>
      </c>
      <c r="B29" s="3">
        <f>B26/B6</f>
        <v>508.33333333333331</v>
      </c>
      <c r="D29" s="3">
        <f>B29*12</f>
        <v>6100</v>
      </c>
      <c r="E29" s="12" t="s">
        <v>73</v>
      </c>
    </row>
    <row r="31" spans="1:5" x14ac:dyDescent="0.25">
      <c r="A31" t="s">
        <v>38</v>
      </c>
    </row>
    <row r="32" spans="1:5" ht="13" x14ac:dyDescent="0.3">
      <c r="A32" t="s">
        <v>39</v>
      </c>
      <c r="B32" s="3">
        <f>B29*B6+B7</f>
        <v>29400</v>
      </c>
    </row>
    <row r="34" spans="1:2" ht="13" x14ac:dyDescent="0.3">
      <c r="A34" s="1" t="s">
        <v>50</v>
      </c>
      <c r="B34" s="3">
        <f>B32/B6</f>
        <v>612.5</v>
      </c>
    </row>
    <row r="36" spans="1:2" x14ac:dyDescent="0.25">
      <c r="B36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zoomScale="175" zoomScaleNormal="175" workbookViewId="0">
      <selection activeCell="A4" sqref="A4"/>
    </sheetView>
  </sheetViews>
  <sheetFormatPr baseColWidth="10" defaultRowHeight="12.5" x14ac:dyDescent="0.25"/>
  <cols>
    <col min="1" max="1" width="44.26953125" bestFit="1" customWidth="1"/>
    <col min="3" max="3" width="14.1796875" customWidth="1"/>
  </cols>
  <sheetData>
    <row r="1" spans="1:3" ht="15.5" x14ac:dyDescent="0.35">
      <c r="A1" s="4" t="s">
        <v>0</v>
      </c>
    </row>
    <row r="3" spans="1:3" x14ac:dyDescent="0.25">
      <c r="A3" s="21" t="s">
        <v>125</v>
      </c>
      <c r="B3" s="24">
        <v>35000</v>
      </c>
    </row>
    <row r="4" spans="1:3" x14ac:dyDescent="0.25">
      <c r="A4" s="21" t="s">
        <v>15</v>
      </c>
      <c r="B4" s="23">
        <v>1.75</v>
      </c>
    </row>
    <row r="5" spans="1:3" x14ac:dyDescent="0.25">
      <c r="A5" s="21" t="s">
        <v>17</v>
      </c>
      <c r="B5" s="24">
        <v>15000</v>
      </c>
    </row>
    <row r="8" spans="1:3" ht="13" x14ac:dyDescent="0.3">
      <c r="A8" s="27" t="s">
        <v>1</v>
      </c>
    </row>
    <row r="9" spans="1:3" x14ac:dyDescent="0.25">
      <c r="A9" s="21" t="s">
        <v>6</v>
      </c>
      <c r="B9" s="24">
        <v>5</v>
      </c>
      <c r="C9" s="25">
        <f>B3/B9</f>
        <v>7000</v>
      </c>
    </row>
    <row r="10" spans="1:3" x14ac:dyDescent="0.25">
      <c r="A10" s="21" t="s">
        <v>7</v>
      </c>
      <c r="B10" s="26">
        <v>0.02</v>
      </c>
      <c r="C10" s="25">
        <f>B3/2*B10/1</f>
        <v>350</v>
      </c>
    </row>
    <row r="11" spans="1:3" x14ac:dyDescent="0.25">
      <c r="A11" s="21" t="s">
        <v>8</v>
      </c>
      <c r="B11" s="24">
        <v>340</v>
      </c>
      <c r="C11" s="25">
        <f>VALUE(B11)</f>
        <v>340</v>
      </c>
    </row>
    <row r="12" spans="1:3" x14ac:dyDescent="0.25">
      <c r="A12" s="21" t="s">
        <v>9</v>
      </c>
      <c r="B12" s="24">
        <v>677</v>
      </c>
      <c r="C12" s="25">
        <f>VALUE(B12)</f>
        <v>677</v>
      </c>
    </row>
    <row r="13" spans="1:3" x14ac:dyDescent="0.25">
      <c r="A13" s="21" t="s">
        <v>10</v>
      </c>
      <c r="B13" s="24">
        <v>422</v>
      </c>
      <c r="C13" s="25">
        <f>VALUE(B13)</f>
        <v>422</v>
      </c>
    </row>
    <row r="14" spans="1:3" x14ac:dyDescent="0.25">
      <c r="A14" s="21" t="s">
        <v>11</v>
      </c>
      <c r="B14" s="24">
        <v>140</v>
      </c>
      <c r="C14" s="25">
        <f>12*B14</f>
        <v>1680</v>
      </c>
    </row>
    <row r="15" spans="1:3" x14ac:dyDescent="0.25">
      <c r="A15" s="21" t="s">
        <v>12</v>
      </c>
      <c r="B15" s="26">
        <v>0.01</v>
      </c>
      <c r="C15" s="25">
        <f>B3/1*B15</f>
        <v>350</v>
      </c>
    </row>
    <row r="16" spans="1:3" x14ac:dyDescent="0.25">
      <c r="A16" s="21" t="s">
        <v>55</v>
      </c>
      <c r="B16" s="24">
        <v>200</v>
      </c>
      <c r="C16" s="25">
        <f>VALUE(B16)</f>
        <v>200</v>
      </c>
    </row>
    <row r="18" spans="1:3" ht="13" x14ac:dyDescent="0.3">
      <c r="A18" s="27" t="s">
        <v>4</v>
      </c>
      <c r="B18" s="21"/>
      <c r="C18" s="28">
        <f>SUM(C9:C17)</f>
        <v>11019</v>
      </c>
    </row>
    <row r="21" spans="1:3" ht="13" x14ac:dyDescent="0.3">
      <c r="A21" s="27" t="s">
        <v>2</v>
      </c>
    </row>
    <row r="22" spans="1:3" x14ac:dyDescent="0.25">
      <c r="A22" s="21" t="s">
        <v>14</v>
      </c>
      <c r="B22" s="26">
        <v>0.03</v>
      </c>
      <c r="C22" s="25">
        <f>B3/1*B22</f>
        <v>1050</v>
      </c>
    </row>
    <row r="23" spans="1:3" x14ac:dyDescent="0.25">
      <c r="A23" s="21" t="s">
        <v>16</v>
      </c>
      <c r="B23" s="24">
        <v>8</v>
      </c>
      <c r="C23" s="25">
        <f>B5/100*B4*B23</f>
        <v>2100</v>
      </c>
    </row>
    <row r="24" spans="1:3" x14ac:dyDescent="0.25">
      <c r="A24" s="21" t="s">
        <v>18</v>
      </c>
      <c r="B24" s="24">
        <v>900</v>
      </c>
      <c r="C24" s="25">
        <f>VALUE(B24)</f>
        <v>900</v>
      </c>
    </row>
    <row r="25" spans="1:3" x14ac:dyDescent="0.25">
      <c r="A25" s="21" t="s">
        <v>19</v>
      </c>
      <c r="B25" s="24">
        <v>400</v>
      </c>
      <c r="C25" s="25">
        <f>VALUE(B25)</f>
        <v>400</v>
      </c>
    </row>
    <row r="26" spans="1:3" x14ac:dyDescent="0.25">
      <c r="C26" s="2"/>
    </row>
    <row r="27" spans="1:3" ht="13" x14ac:dyDescent="0.3">
      <c r="A27" s="27" t="s">
        <v>5</v>
      </c>
      <c r="B27" s="21"/>
      <c r="C27" s="28">
        <f>SUM(C22:C26)</f>
        <v>4450</v>
      </c>
    </row>
    <row r="28" spans="1:3" x14ac:dyDescent="0.25">
      <c r="C28" s="2"/>
    </row>
    <row r="29" spans="1:3" ht="13" x14ac:dyDescent="0.3">
      <c r="A29" s="27" t="s">
        <v>3</v>
      </c>
      <c r="B29" s="21"/>
      <c r="C29" s="28">
        <f>C18+C27</f>
        <v>15469</v>
      </c>
    </row>
    <row r="31" spans="1:3" ht="13" x14ac:dyDescent="0.3">
      <c r="A31" s="27" t="s">
        <v>20</v>
      </c>
      <c r="B31" s="21"/>
      <c r="C31" s="28">
        <f>C29/B5</f>
        <v>1.0312666666666668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3" sqref="B13"/>
    </sheetView>
  </sheetViews>
  <sheetFormatPr baseColWidth="10" defaultRowHeight="12.5" x14ac:dyDescent="0.25"/>
  <cols>
    <col min="1" max="1" width="39.1796875" customWidth="1"/>
    <col min="2" max="2" width="13" bestFit="1" customWidth="1"/>
  </cols>
  <sheetData>
    <row r="1" spans="1:2" ht="15.5" x14ac:dyDescent="0.35">
      <c r="A1" s="4" t="s">
        <v>40</v>
      </c>
    </row>
    <row r="3" spans="1:2" x14ac:dyDescent="0.25">
      <c r="A3" t="s">
        <v>41</v>
      </c>
      <c r="B3" s="2">
        <v>35000</v>
      </c>
    </row>
    <row r="4" spans="1:2" x14ac:dyDescent="0.25">
      <c r="A4" t="s">
        <v>43</v>
      </c>
      <c r="B4">
        <v>48</v>
      </c>
    </row>
    <row r="5" spans="1:2" x14ac:dyDescent="0.25">
      <c r="A5" t="s">
        <v>49</v>
      </c>
      <c r="B5">
        <v>2</v>
      </c>
    </row>
    <row r="6" spans="1:2" x14ac:dyDescent="0.25">
      <c r="A6" t="s">
        <v>44</v>
      </c>
      <c r="B6" s="2">
        <v>3000</v>
      </c>
    </row>
    <row r="9" spans="1:2" ht="13" x14ac:dyDescent="0.3">
      <c r="A9" s="1" t="s">
        <v>45</v>
      </c>
    </row>
    <row r="11" spans="1:2" x14ac:dyDescent="0.25">
      <c r="A11" t="s">
        <v>46</v>
      </c>
      <c r="B11" s="2">
        <f>B3-B6</f>
        <v>32000</v>
      </c>
    </row>
    <row r="12" spans="1:2" x14ac:dyDescent="0.25">
      <c r="A12" t="s">
        <v>42</v>
      </c>
      <c r="B12" s="2">
        <f>B3/2*B4/12*B5/100</f>
        <v>1400</v>
      </c>
    </row>
    <row r="14" spans="1:2" ht="13" x14ac:dyDescent="0.3">
      <c r="A14" s="1" t="s">
        <v>48</v>
      </c>
      <c r="B14" s="3">
        <f>SUM(B11+B12)</f>
        <v>33400</v>
      </c>
    </row>
    <row r="17" spans="1:2" ht="13" x14ac:dyDescent="0.3">
      <c r="A17" s="1" t="s">
        <v>47</v>
      </c>
      <c r="B17" s="3">
        <f>B14/B4</f>
        <v>695.83333333333337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145" zoomScaleNormal="145" workbookViewId="0">
      <selection activeCell="D29" sqref="D29"/>
    </sheetView>
  </sheetViews>
  <sheetFormatPr baseColWidth="10" defaultRowHeight="12.5" x14ac:dyDescent="0.25"/>
  <cols>
    <col min="1" max="1" width="41.7265625" customWidth="1"/>
    <col min="2" max="2" width="18.453125" bestFit="1" customWidth="1"/>
    <col min="4" max="4" width="17.26953125" bestFit="1" customWidth="1"/>
  </cols>
  <sheetData>
    <row r="1" spans="1:2" ht="15.5" x14ac:dyDescent="0.35">
      <c r="A1" s="4" t="s">
        <v>21</v>
      </c>
    </row>
    <row r="3" spans="1:2" x14ac:dyDescent="0.25">
      <c r="A3" s="29" t="s">
        <v>89</v>
      </c>
      <c r="B3" s="23">
        <v>31500</v>
      </c>
    </row>
    <row r="4" spans="1:2" x14ac:dyDescent="0.25">
      <c r="A4" s="21" t="s">
        <v>25</v>
      </c>
      <c r="B4" s="23">
        <v>6000</v>
      </c>
    </row>
    <row r="5" spans="1:2" x14ac:dyDescent="0.25">
      <c r="A5" s="21" t="s">
        <v>26</v>
      </c>
      <c r="B5" s="24">
        <v>6</v>
      </c>
    </row>
    <row r="6" spans="1:2" x14ac:dyDescent="0.25">
      <c r="A6" s="21" t="s">
        <v>27</v>
      </c>
      <c r="B6" s="24">
        <v>48</v>
      </c>
    </row>
    <row r="7" spans="1:2" x14ac:dyDescent="0.25">
      <c r="A7" s="21" t="s">
        <v>23</v>
      </c>
      <c r="B7" s="23">
        <v>5000</v>
      </c>
    </row>
    <row r="11" spans="1:2" x14ac:dyDescent="0.25">
      <c r="A11" s="21" t="s">
        <v>22</v>
      </c>
      <c r="B11" s="25">
        <f>VALUE(B3)</f>
        <v>31500</v>
      </c>
    </row>
    <row r="12" spans="1:2" x14ac:dyDescent="0.25">
      <c r="A12" s="21" t="s">
        <v>23</v>
      </c>
      <c r="B12" s="30">
        <f>VALUE(B7)</f>
        <v>5000</v>
      </c>
    </row>
    <row r="13" spans="1:2" x14ac:dyDescent="0.25">
      <c r="A13" s="21" t="s">
        <v>24</v>
      </c>
      <c r="B13" s="25">
        <f>B11-B12</f>
        <v>26500</v>
      </c>
    </row>
    <row r="14" spans="1:2" x14ac:dyDescent="0.25">
      <c r="A14" s="21" t="s">
        <v>25</v>
      </c>
      <c r="B14" s="30">
        <f>VALUE(B4)</f>
        <v>6000</v>
      </c>
    </row>
    <row r="15" spans="1:2" ht="13" x14ac:dyDescent="0.3">
      <c r="A15" s="27" t="s">
        <v>29</v>
      </c>
      <c r="B15" s="28">
        <f>B13-B14</f>
        <v>20500</v>
      </c>
    </row>
    <row r="18" spans="1:5" ht="13" x14ac:dyDescent="0.3">
      <c r="A18" s="27" t="s">
        <v>28</v>
      </c>
      <c r="B18" s="28">
        <f>B15*B5*B6/2/12/100</f>
        <v>2460</v>
      </c>
      <c r="D18" s="28">
        <f>B18/B6*12</f>
        <v>615</v>
      </c>
      <c r="E18" s="31" t="s">
        <v>73</v>
      </c>
    </row>
    <row r="19" spans="1:5" x14ac:dyDescent="0.25">
      <c r="A19" t="s">
        <v>30</v>
      </c>
    </row>
    <row r="20" spans="1:5" x14ac:dyDescent="0.25">
      <c r="A20" t="s">
        <v>31</v>
      </c>
    </row>
    <row r="22" spans="1:5" ht="13" x14ac:dyDescent="0.3">
      <c r="A22" s="1" t="s">
        <v>32</v>
      </c>
    </row>
    <row r="23" spans="1:5" x14ac:dyDescent="0.25">
      <c r="A23" t="s">
        <v>33</v>
      </c>
    </row>
    <row r="24" spans="1:5" ht="13" x14ac:dyDescent="0.3">
      <c r="A24" s="21" t="s">
        <v>34</v>
      </c>
      <c r="B24" s="28">
        <f>B4*B5*B6/12/100</f>
        <v>1440</v>
      </c>
      <c r="D24" s="28">
        <f>B24/B6*12</f>
        <v>360</v>
      </c>
      <c r="E24" s="31" t="s">
        <v>73</v>
      </c>
    </row>
    <row r="26" spans="1:5" ht="13" x14ac:dyDescent="0.3">
      <c r="A26" s="27" t="s">
        <v>35</v>
      </c>
      <c r="B26" s="28">
        <f>SUM(B15:B25)</f>
        <v>24400</v>
      </c>
      <c r="D26" s="28">
        <f>SUM(D18:D25)</f>
        <v>975</v>
      </c>
      <c r="E26" s="31" t="s">
        <v>73</v>
      </c>
    </row>
    <row r="27" spans="1:5" x14ac:dyDescent="0.25">
      <c r="B27" s="2"/>
    </row>
    <row r="28" spans="1:5" ht="13" x14ac:dyDescent="0.3">
      <c r="A28" s="1" t="s">
        <v>36</v>
      </c>
    </row>
    <row r="29" spans="1:5" ht="13" x14ac:dyDescent="0.3">
      <c r="A29" s="21" t="s">
        <v>37</v>
      </c>
      <c r="B29" s="28">
        <f>B26/B6</f>
        <v>508.33333333333331</v>
      </c>
      <c r="D29" s="28">
        <f>B29*12</f>
        <v>6100</v>
      </c>
      <c r="E29" s="31" t="s">
        <v>73</v>
      </c>
    </row>
    <row r="31" spans="1:5" x14ac:dyDescent="0.25">
      <c r="A31" t="s">
        <v>38</v>
      </c>
    </row>
    <row r="32" spans="1:5" ht="13" x14ac:dyDescent="0.3">
      <c r="A32" s="29" t="s">
        <v>75</v>
      </c>
      <c r="B32" s="28">
        <f>B29*B6+B7</f>
        <v>29400</v>
      </c>
    </row>
    <row r="34" spans="1:5" ht="13" x14ac:dyDescent="0.3">
      <c r="A34" s="27" t="s">
        <v>50</v>
      </c>
      <c r="B34" s="28">
        <f>B32/B6</f>
        <v>612.5</v>
      </c>
      <c r="D34" s="28">
        <f>B34*12</f>
        <v>7350</v>
      </c>
      <c r="E34" s="31" t="s">
        <v>73</v>
      </c>
    </row>
    <row r="36" spans="1:5" x14ac:dyDescent="0.25">
      <c r="B36" s="6"/>
    </row>
    <row r="37" spans="1:5" x14ac:dyDescent="0.25">
      <c r="D37" s="6"/>
    </row>
  </sheetData>
  <phoneticPr fontId="0" type="noConversion"/>
  <pageMargins left="0.78740157499999996" right="0.78740157499999996" top="0.984251969" bottom="0.984251969" header="0.4921259845" footer="0.4921259845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2" zoomScale="205" zoomScaleNormal="205" workbookViewId="0">
      <selection activeCell="C16" sqref="C16"/>
    </sheetView>
  </sheetViews>
  <sheetFormatPr baseColWidth="10" defaultRowHeight="12.5" x14ac:dyDescent="0.25"/>
  <cols>
    <col min="1" max="1" width="32.54296875" customWidth="1"/>
  </cols>
  <sheetData>
    <row r="1" spans="1:4" ht="18" x14ac:dyDescent="0.4">
      <c r="A1" s="11" t="s">
        <v>61</v>
      </c>
    </row>
    <row r="2" spans="1:4" ht="18" x14ac:dyDescent="0.4">
      <c r="A2" s="11"/>
    </row>
    <row r="3" spans="1:4" ht="13" x14ac:dyDescent="0.3">
      <c r="A3" s="1" t="s">
        <v>70</v>
      </c>
      <c r="B3" s="1"/>
      <c r="C3" s="1"/>
      <c r="D3" s="1"/>
    </row>
    <row r="5" spans="1:4" x14ac:dyDescent="0.25">
      <c r="A5" s="21" t="s">
        <v>62</v>
      </c>
      <c r="B5" s="24">
        <v>6850</v>
      </c>
      <c r="C5" s="21"/>
      <c r="D5" s="21"/>
    </row>
    <row r="6" spans="1:4" x14ac:dyDescent="0.25">
      <c r="A6" s="21" t="s">
        <v>71</v>
      </c>
      <c r="B6" s="24">
        <v>300</v>
      </c>
      <c r="C6" s="21"/>
      <c r="D6" s="21"/>
    </row>
    <row r="7" spans="1:4" x14ac:dyDescent="0.25">
      <c r="A7" s="21" t="s">
        <v>72</v>
      </c>
      <c r="B7" s="21"/>
      <c r="C7" s="21">
        <f>(13*B5)+(12*B6)</f>
        <v>92650</v>
      </c>
      <c r="D7" s="21" t="s">
        <v>73</v>
      </c>
    </row>
    <row r="8" spans="1:4" x14ac:dyDescent="0.25">
      <c r="A8" s="21" t="s">
        <v>63</v>
      </c>
      <c r="B8" s="24">
        <v>1600</v>
      </c>
      <c r="C8" s="21">
        <f>12*B8</f>
        <v>19200</v>
      </c>
      <c r="D8" s="21"/>
    </row>
    <row r="9" spans="1:4" x14ac:dyDescent="0.25">
      <c r="A9" s="21" t="s">
        <v>67</v>
      </c>
      <c r="B9" s="24">
        <v>1500</v>
      </c>
      <c r="C9" s="21">
        <f>B11*B9*12</f>
        <v>36000</v>
      </c>
      <c r="D9" s="21"/>
    </row>
    <row r="10" spans="1:4" x14ac:dyDescent="0.25">
      <c r="A10" s="21" t="s">
        <v>68</v>
      </c>
      <c r="B10" s="24">
        <v>600</v>
      </c>
      <c r="C10" s="21">
        <f>B12*B10*12</f>
        <v>14400</v>
      </c>
      <c r="D10" s="21"/>
    </row>
    <row r="11" spans="1:4" x14ac:dyDescent="0.25">
      <c r="A11" s="21" t="s">
        <v>64</v>
      </c>
      <c r="B11" s="24">
        <v>2</v>
      </c>
      <c r="C11" s="21"/>
      <c r="D11" s="21"/>
    </row>
    <row r="12" spans="1:4" x14ac:dyDescent="0.25">
      <c r="A12" s="21" t="s">
        <v>65</v>
      </c>
      <c r="B12" s="24">
        <v>2</v>
      </c>
      <c r="C12" s="21"/>
      <c r="D12" s="21"/>
    </row>
    <row r="13" spans="1:4" x14ac:dyDescent="0.25">
      <c r="A13" s="21" t="s">
        <v>66</v>
      </c>
      <c r="B13" s="24">
        <v>8800</v>
      </c>
      <c r="C13" s="21">
        <f>B13</f>
        <v>8800</v>
      </c>
      <c r="D13" s="21"/>
    </row>
    <row r="14" spans="1:4" x14ac:dyDescent="0.25">
      <c r="A14" s="21" t="s">
        <v>69</v>
      </c>
      <c r="B14" s="24">
        <v>0</v>
      </c>
      <c r="C14" s="21">
        <f>B14</f>
        <v>0</v>
      </c>
      <c r="D14" s="21"/>
    </row>
    <row r="15" spans="1:4" x14ac:dyDescent="0.25">
      <c r="A15" s="21"/>
      <c r="B15" s="21"/>
      <c r="C15" s="21"/>
      <c r="D15" s="21"/>
    </row>
    <row r="16" spans="1:4" ht="13" x14ac:dyDescent="0.3">
      <c r="A16" s="21" t="s">
        <v>74</v>
      </c>
      <c r="B16" s="21"/>
      <c r="C16" s="27">
        <f>C7-(C8+C9+C10+C13)</f>
        <v>14250</v>
      </c>
      <c r="D16" s="21"/>
    </row>
    <row r="18" spans="3:3" ht="13" x14ac:dyDescent="0.3">
      <c r="C18" s="27">
        <f>C16/100*80</f>
        <v>11400</v>
      </c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6"/>
  <sheetViews>
    <sheetView workbookViewId="0">
      <selection activeCell="A16" sqref="A16"/>
    </sheetView>
  </sheetViews>
  <sheetFormatPr baseColWidth="10" defaultRowHeight="12.5" x14ac:dyDescent="0.25"/>
  <cols>
    <col min="1" max="1" width="41.7265625" customWidth="1"/>
    <col min="2" max="3" width="13.26953125" bestFit="1" customWidth="1"/>
  </cols>
  <sheetData>
    <row r="1" spans="1:3" ht="15.5" x14ac:dyDescent="0.35">
      <c r="A1" s="4" t="s">
        <v>21</v>
      </c>
    </row>
    <row r="2" spans="1:3" ht="15.5" x14ac:dyDescent="0.35">
      <c r="A2" s="4"/>
    </row>
    <row r="3" spans="1:3" ht="13" x14ac:dyDescent="0.3">
      <c r="A3" s="1" t="s">
        <v>86</v>
      </c>
      <c r="B3" s="16">
        <v>0.08</v>
      </c>
    </row>
    <row r="4" spans="1:3" x14ac:dyDescent="0.25">
      <c r="B4" s="13" t="s">
        <v>84</v>
      </c>
      <c r="C4" s="13" t="s">
        <v>85</v>
      </c>
    </row>
    <row r="5" spans="1:3" ht="13" x14ac:dyDescent="0.3">
      <c r="A5" s="1" t="s">
        <v>22</v>
      </c>
      <c r="B5" s="17">
        <f>C5*1/(1+$B$3)</f>
        <v>22592.592592592591</v>
      </c>
      <c r="C5" s="14">
        <v>24400</v>
      </c>
    </row>
    <row r="6" spans="1:3" x14ac:dyDescent="0.25">
      <c r="A6" t="s">
        <v>104</v>
      </c>
      <c r="B6" s="17">
        <f t="shared" ref="B6:B18" si="0">C6*1/(1+$B$3)</f>
        <v>92.592592592592581</v>
      </c>
      <c r="C6" s="15">
        <v>100</v>
      </c>
    </row>
    <row r="7" spans="1:3" x14ac:dyDescent="0.25">
      <c r="A7" s="13" t="s">
        <v>105</v>
      </c>
      <c r="B7" s="17">
        <f t="shared" si="0"/>
        <v>462.96296296296293</v>
      </c>
      <c r="C7" s="15">
        <v>500</v>
      </c>
    </row>
    <row r="8" spans="1:3" x14ac:dyDescent="0.25">
      <c r="A8" s="13" t="s">
        <v>106</v>
      </c>
      <c r="B8" s="17">
        <f t="shared" si="0"/>
        <v>185.18518518518516</v>
      </c>
      <c r="C8" s="15">
        <v>200</v>
      </c>
    </row>
    <row r="9" spans="1:3" x14ac:dyDescent="0.25">
      <c r="A9" s="13" t="s">
        <v>107</v>
      </c>
      <c r="B9" s="17">
        <f t="shared" si="0"/>
        <v>324.07407407407408</v>
      </c>
      <c r="C9" s="15">
        <v>350</v>
      </c>
    </row>
    <row r="10" spans="1:3" x14ac:dyDescent="0.25">
      <c r="A10" s="13" t="s">
        <v>108</v>
      </c>
      <c r="B10" s="17">
        <f t="shared" si="0"/>
        <v>462.96296296296293</v>
      </c>
      <c r="C10" s="15">
        <v>500</v>
      </c>
    </row>
    <row r="11" spans="1:3" x14ac:dyDescent="0.25">
      <c r="A11" s="13" t="s">
        <v>109</v>
      </c>
      <c r="B11" s="17">
        <f t="shared" si="0"/>
        <v>138.88888888888889</v>
      </c>
      <c r="C11" s="15">
        <v>150</v>
      </c>
    </row>
    <row r="12" spans="1:3" x14ac:dyDescent="0.25">
      <c r="A12" s="13" t="s">
        <v>110</v>
      </c>
      <c r="B12" s="17">
        <f t="shared" si="0"/>
        <v>1203.7037037037037</v>
      </c>
      <c r="C12" s="15">
        <v>1300</v>
      </c>
    </row>
    <row r="13" spans="1:3" x14ac:dyDescent="0.25">
      <c r="B13" s="17">
        <f t="shared" si="0"/>
        <v>0</v>
      </c>
      <c r="C13" s="15"/>
    </row>
    <row r="14" spans="1:3" x14ac:dyDescent="0.25">
      <c r="B14" s="17">
        <f t="shared" si="0"/>
        <v>0</v>
      </c>
      <c r="C14" s="15"/>
    </row>
    <row r="15" spans="1:3" x14ac:dyDescent="0.25">
      <c r="B15" s="17">
        <f t="shared" si="0"/>
        <v>0</v>
      </c>
      <c r="C15" s="15"/>
    </row>
    <row r="16" spans="1:3" x14ac:dyDescent="0.25">
      <c r="B16" s="17">
        <f t="shared" si="0"/>
        <v>0</v>
      </c>
      <c r="C16" s="15"/>
    </row>
    <row r="17" spans="1:3" x14ac:dyDescent="0.25">
      <c r="B17" s="17">
        <f t="shared" si="0"/>
        <v>0</v>
      </c>
      <c r="C17" s="15"/>
    </row>
    <row r="18" spans="1:3" x14ac:dyDescent="0.25">
      <c r="B18" s="17">
        <f t="shared" si="0"/>
        <v>0</v>
      </c>
      <c r="C18" s="15"/>
    </row>
    <row r="19" spans="1:3" ht="13" x14ac:dyDescent="0.3">
      <c r="A19" s="1" t="s">
        <v>56</v>
      </c>
      <c r="B19" s="3">
        <f>SUM(B6:B18)</f>
        <v>2870.3703703703704</v>
      </c>
    </row>
    <row r="20" spans="1:3" ht="13" x14ac:dyDescent="0.3">
      <c r="A20" s="1" t="s">
        <v>60</v>
      </c>
      <c r="B20" s="3">
        <f>(C5+B19)/100*C20</f>
        <v>0</v>
      </c>
      <c r="C20" s="7">
        <v>0</v>
      </c>
    </row>
    <row r="21" spans="1:3" ht="13" x14ac:dyDescent="0.3">
      <c r="A21" s="1"/>
      <c r="B21" s="3"/>
    </row>
    <row r="22" spans="1:3" ht="13" x14ac:dyDescent="0.3">
      <c r="A22" s="1" t="s">
        <v>59</v>
      </c>
      <c r="B22" s="3">
        <f>(B5+B19-B20)</f>
        <v>25462.962962962964</v>
      </c>
    </row>
    <row r="23" spans="1:3" x14ac:dyDescent="0.25">
      <c r="B23" s="2"/>
    </row>
    <row r="24" spans="1:3" ht="13" x14ac:dyDescent="0.3">
      <c r="A24" s="1" t="s">
        <v>25</v>
      </c>
      <c r="B24" s="3">
        <f>(C5+(B19/2))/100*B29</f>
        <v>10204.898148148148</v>
      </c>
    </row>
    <row r="25" spans="1:3" x14ac:dyDescent="0.25">
      <c r="A25" s="7" t="s">
        <v>26</v>
      </c>
      <c r="B25" s="7">
        <v>3.5</v>
      </c>
    </row>
    <row r="26" spans="1:3" x14ac:dyDescent="0.25">
      <c r="A26" s="7" t="s">
        <v>27</v>
      </c>
      <c r="B26" s="7">
        <v>48</v>
      </c>
    </row>
    <row r="27" spans="1:3" x14ac:dyDescent="0.25">
      <c r="A27" s="7" t="s">
        <v>23</v>
      </c>
      <c r="B27" s="8">
        <v>10000</v>
      </c>
    </row>
    <row r="28" spans="1:3" x14ac:dyDescent="0.25">
      <c r="A28" s="7" t="s">
        <v>57</v>
      </c>
      <c r="B28" s="9">
        <v>15000</v>
      </c>
    </row>
    <row r="29" spans="1:3" x14ac:dyDescent="0.25">
      <c r="A29" s="7" t="s">
        <v>58</v>
      </c>
      <c r="B29" s="7">
        <v>39.5</v>
      </c>
    </row>
    <row r="31" spans="1:3" x14ac:dyDescent="0.25">
      <c r="A31" t="s">
        <v>22</v>
      </c>
      <c r="B31" s="2">
        <f>VALUE(B22)</f>
        <v>25462.962962962964</v>
      </c>
    </row>
    <row r="32" spans="1:3" x14ac:dyDescent="0.25">
      <c r="A32" t="s">
        <v>23</v>
      </c>
      <c r="B32" s="5">
        <f>VALUE(B27)</f>
        <v>10000</v>
      </c>
    </row>
    <row r="33" spans="1:3" x14ac:dyDescent="0.25">
      <c r="A33" t="s">
        <v>24</v>
      </c>
      <c r="B33" s="2">
        <f>B31-B32</f>
        <v>15462.962962962964</v>
      </c>
    </row>
    <row r="34" spans="1:3" x14ac:dyDescent="0.25">
      <c r="A34" t="s">
        <v>25</v>
      </c>
      <c r="B34" s="5">
        <f>VALUE(B24)</f>
        <v>10204.898148148148</v>
      </c>
    </row>
    <row r="35" spans="1:3" ht="13" x14ac:dyDescent="0.3">
      <c r="A35" s="1" t="s">
        <v>29</v>
      </c>
      <c r="B35" s="3">
        <f>B33-B34</f>
        <v>5258.0648148148157</v>
      </c>
    </row>
    <row r="38" spans="1:3" ht="13" x14ac:dyDescent="0.3">
      <c r="A38" s="1" t="s">
        <v>28</v>
      </c>
      <c r="B38" s="2">
        <f>B35*B25*B26/2/12/100</f>
        <v>368.0645370370371</v>
      </c>
    </row>
    <row r="39" spans="1:3" x14ac:dyDescent="0.25">
      <c r="A39" t="s">
        <v>30</v>
      </c>
    </row>
    <row r="40" spans="1:3" x14ac:dyDescent="0.25">
      <c r="A40" t="s">
        <v>31</v>
      </c>
    </row>
    <row r="42" spans="1:3" ht="13" x14ac:dyDescent="0.3">
      <c r="A42" s="1" t="s">
        <v>32</v>
      </c>
    </row>
    <row r="43" spans="1:3" x14ac:dyDescent="0.25">
      <c r="A43" t="s">
        <v>33</v>
      </c>
    </row>
    <row r="44" spans="1:3" x14ac:dyDescent="0.25">
      <c r="A44" t="s">
        <v>34</v>
      </c>
      <c r="B44" s="2">
        <f>B24*B25*B26/12/100</f>
        <v>1428.6857407407408</v>
      </c>
    </row>
    <row r="46" spans="1:3" ht="13" x14ac:dyDescent="0.3">
      <c r="A46" s="1" t="s">
        <v>35</v>
      </c>
      <c r="B46" s="3">
        <f>SUM(B35:B45)</f>
        <v>7054.8150925925929</v>
      </c>
    </row>
    <row r="47" spans="1:3" x14ac:dyDescent="0.25">
      <c r="B47" s="2"/>
    </row>
    <row r="48" spans="1:3" ht="13" x14ac:dyDescent="0.3">
      <c r="A48" s="1" t="s">
        <v>36</v>
      </c>
      <c r="B48" s="20" t="s">
        <v>87</v>
      </c>
      <c r="C48" s="20" t="s">
        <v>88</v>
      </c>
    </row>
    <row r="49" spans="1:3" ht="13" x14ac:dyDescent="0.3">
      <c r="A49" t="s">
        <v>37</v>
      </c>
      <c r="B49" s="10">
        <f>B46/B26</f>
        <v>146.97531442901234</v>
      </c>
      <c r="C49" s="19">
        <f>B49/1*(1+B3)</f>
        <v>158.73333958333333</v>
      </c>
    </row>
    <row r="51" spans="1:3" x14ac:dyDescent="0.25">
      <c r="A51" t="s">
        <v>38</v>
      </c>
    </row>
    <row r="52" spans="1:3" ht="13" x14ac:dyDescent="0.3">
      <c r="A52" t="s">
        <v>39</v>
      </c>
      <c r="B52" s="3">
        <f>B49*B26+B27</f>
        <v>17054.815092592595</v>
      </c>
      <c r="C52" s="18">
        <f>C49*B26+B27</f>
        <v>17619.2003</v>
      </c>
    </row>
    <row r="54" spans="1:3" ht="13" x14ac:dyDescent="0.3">
      <c r="A54" s="1" t="s">
        <v>50</v>
      </c>
      <c r="B54" s="3">
        <f>B52/B26</f>
        <v>355.30864776234574</v>
      </c>
      <c r="C54" s="18">
        <f>C52/B26</f>
        <v>367.06667291666668</v>
      </c>
    </row>
    <row r="56" spans="1:3" x14ac:dyDescent="0.25">
      <c r="B56" s="6">
        <f>1/B33*(B38+B44)</f>
        <v>0.1161970239520958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6"/>
  <sheetViews>
    <sheetView topLeftCell="A3" workbookViewId="0">
      <selection activeCell="B23" sqref="B23"/>
    </sheetView>
  </sheetViews>
  <sheetFormatPr baseColWidth="10" defaultRowHeight="12.5" x14ac:dyDescent="0.25"/>
  <cols>
    <col min="1" max="1" width="41.7265625" customWidth="1"/>
    <col min="2" max="3" width="13.26953125" bestFit="1" customWidth="1"/>
  </cols>
  <sheetData>
    <row r="1" spans="1:3" ht="15.5" x14ac:dyDescent="0.35">
      <c r="A1" s="4" t="s">
        <v>21</v>
      </c>
    </row>
    <row r="2" spans="1:3" ht="15.5" x14ac:dyDescent="0.35">
      <c r="A2" s="4"/>
    </row>
    <row r="3" spans="1:3" ht="13" x14ac:dyDescent="0.3">
      <c r="A3" s="1" t="s">
        <v>86</v>
      </c>
      <c r="B3" s="16">
        <v>0.08</v>
      </c>
    </row>
    <row r="4" spans="1:3" x14ac:dyDescent="0.25">
      <c r="B4" s="13" t="s">
        <v>84</v>
      </c>
      <c r="C4" s="13" t="s">
        <v>85</v>
      </c>
    </row>
    <row r="5" spans="1:3" ht="13" x14ac:dyDescent="0.3">
      <c r="A5" s="1" t="s">
        <v>22</v>
      </c>
      <c r="B5" s="17">
        <f>C5*1/(1+$B$3)</f>
        <v>25916.666666666664</v>
      </c>
      <c r="C5" s="14">
        <v>27990</v>
      </c>
    </row>
    <row r="6" spans="1:3" x14ac:dyDescent="0.25">
      <c r="A6" t="s">
        <v>101</v>
      </c>
      <c r="B6" s="17">
        <f t="shared" ref="B6:B18" si="0">C6*1/(1+$B$3)</f>
        <v>1481.4814814814813</v>
      </c>
      <c r="C6" s="15">
        <v>1600</v>
      </c>
    </row>
    <row r="7" spans="1:3" x14ac:dyDescent="0.25">
      <c r="A7" s="13" t="s">
        <v>102</v>
      </c>
      <c r="B7" s="17">
        <f t="shared" si="0"/>
        <v>2731.4814814814813</v>
      </c>
      <c r="C7" s="15">
        <v>2950</v>
      </c>
    </row>
    <row r="8" spans="1:3" x14ac:dyDescent="0.25">
      <c r="A8" s="13" t="s">
        <v>103</v>
      </c>
      <c r="B8" s="17">
        <f t="shared" si="0"/>
        <v>1435.185185185185</v>
      </c>
      <c r="C8" s="15">
        <v>1550</v>
      </c>
    </row>
    <row r="9" spans="1:3" x14ac:dyDescent="0.25">
      <c r="A9" s="13" t="s">
        <v>98</v>
      </c>
      <c r="B9" s="17">
        <f t="shared" si="0"/>
        <v>638.8888888888888</v>
      </c>
      <c r="C9" s="15">
        <v>690</v>
      </c>
    </row>
    <row r="10" spans="1:3" x14ac:dyDescent="0.25">
      <c r="B10" s="17">
        <f t="shared" si="0"/>
        <v>0</v>
      </c>
      <c r="C10" s="15"/>
    </row>
    <row r="11" spans="1:3" x14ac:dyDescent="0.25">
      <c r="B11" s="17">
        <f t="shared" si="0"/>
        <v>0</v>
      </c>
      <c r="C11" s="15"/>
    </row>
    <row r="12" spans="1:3" x14ac:dyDescent="0.25">
      <c r="B12" s="17">
        <f t="shared" si="0"/>
        <v>0</v>
      </c>
      <c r="C12" s="15"/>
    </row>
    <row r="13" spans="1:3" x14ac:dyDescent="0.25">
      <c r="B13" s="17">
        <f t="shared" si="0"/>
        <v>0</v>
      </c>
      <c r="C13" s="15"/>
    </row>
    <row r="14" spans="1:3" x14ac:dyDescent="0.25">
      <c r="B14" s="17">
        <f t="shared" si="0"/>
        <v>0</v>
      </c>
      <c r="C14" s="15"/>
    </row>
    <row r="15" spans="1:3" x14ac:dyDescent="0.25">
      <c r="B15" s="17">
        <f t="shared" si="0"/>
        <v>0</v>
      </c>
      <c r="C15" s="15"/>
    </row>
    <row r="16" spans="1:3" x14ac:dyDescent="0.25">
      <c r="B16" s="17">
        <f t="shared" si="0"/>
        <v>0</v>
      </c>
      <c r="C16" s="15"/>
    </row>
    <row r="17" spans="1:3" x14ac:dyDescent="0.25">
      <c r="B17" s="17">
        <f t="shared" si="0"/>
        <v>0</v>
      </c>
      <c r="C17" s="15"/>
    </row>
    <row r="18" spans="1:3" x14ac:dyDescent="0.25">
      <c r="B18" s="17">
        <f t="shared" si="0"/>
        <v>0</v>
      </c>
      <c r="C18" s="15"/>
    </row>
    <row r="19" spans="1:3" ht="13" x14ac:dyDescent="0.3">
      <c r="A19" s="1" t="s">
        <v>56</v>
      </c>
      <c r="B19" s="3">
        <f>SUM(B6:B18)</f>
        <v>6287.0370370370365</v>
      </c>
    </row>
    <row r="20" spans="1:3" ht="13" x14ac:dyDescent="0.3">
      <c r="A20" s="1" t="s">
        <v>60</v>
      </c>
      <c r="B20" s="3">
        <f>(C5+B19)/100*C20</f>
        <v>0</v>
      </c>
      <c r="C20" s="7">
        <v>0</v>
      </c>
    </row>
    <row r="21" spans="1:3" ht="13" x14ac:dyDescent="0.3">
      <c r="A21" s="1"/>
      <c r="B21" s="3"/>
    </row>
    <row r="22" spans="1:3" ht="13" x14ac:dyDescent="0.3">
      <c r="A22" s="1" t="s">
        <v>59</v>
      </c>
      <c r="B22" s="3">
        <f>(B5+B19-B20)</f>
        <v>32203.703703703701</v>
      </c>
    </row>
    <row r="23" spans="1:3" x14ac:dyDescent="0.25">
      <c r="B23" s="2"/>
    </row>
    <row r="24" spans="1:3" ht="13" x14ac:dyDescent="0.3">
      <c r="A24" s="1" t="s">
        <v>25</v>
      </c>
      <c r="B24" s="3">
        <f>(C5+(B19/2))/100*B29</f>
        <v>12297.739814814815</v>
      </c>
    </row>
    <row r="25" spans="1:3" x14ac:dyDescent="0.25">
      <c r="A25" s="7" t="s">
        <v>26</v>
      </c>
      <c r="B25" s="7">
        <v>3.5</v>
      </c>
    </row>
    <row r="26" spans="1:3" x14ac:dyDescent="0.25">
      <c r="A26" s="7" t="s">
        <v>27</v>
      </c>
      <c r="B26" s="7">
        <v>48</v>
      </c>
    </row>
    <row r="27" spans="1:3" x14ac:dyDescent="0.25">
      <c r="A27" s="7" t="s">
        <v>23</v>
      </c>
      <c r="B27" s="8">
        <v>10000</v>
      </c>
    </row>
    <row r="28" spans="1:3" x14ac:dyDescent="0.25">
      <c r="A28" s="7" t="s">
        <v>57</v>
      </c>
      <c r="B28" s="9">
        <v>15000</v>
      </c>
    </row>
    <row r="29" spans="1:3" x14ac:dyDescent="0.25">
      <c r="A29" s="7" t="s">
        <v>58</v>
      </c>
      <c r="B29" s="7">
        <v>39.5</v>
      </c>
    </row>
    <row r="31" spans="1:3" x14ac:dyDescent="0.25">
      <c r="A31" t="s">
        <v>22</v>
      </c>
      <c r="B31" s="2">
        <f>VALUE(B22)</f>
        <v>32203.703703703701</v>
      </c>
    </row>
    <row r="32" spans="1:3" x14ac:dyDescent="0.25">
      <c r="A32" t="s">
        <v>23</v>
      </c>
      <c r="B32" s="5">
        <f>VALUE(B27)</f>
        <v>10000</v>
      </c>
    </row>
    <row r="33" spans="1:3" x14ac:dyDescent="0.25">
      <c r="A33" t="s">
        <v>24</v>
      </c>
      <c r="B33" s="2">
        <f>B31-B32</f>
        <v>22203.703703703701</v>
      </c>
    </row>
    <row r="34" spans="1:3" x14ac:dyDescent="0.25">
      <c r="A34" t="s">
        <v>25</v>
      </c>
      <c r="B34" s="5">
        <f>VALUE(B24)</f>
        <v>12297.739814814815</v>
      </c>
    </row>
    <row r="35" spans="1:3" ht="13" x14ac:dyDescent="0.3">
      <c r="A35" s="1" t="s">
        <v>29</v>
      </c>
      <c r="B35" s="3">
        <f>B33-B34</f>
        <v>9905.9638888888858</v>
      </c>
    </row>
    <row r="38" spans="1:3" ht="13" x14ac:dyDescent="0.3">
      <c r="A38" s="1" t="s">
        <v>28</v>
      </c>
      <c r="B38" s="2">
        <f>B35*B25*B26/2/12/100</f>
        <v>693.41747222222193</v>
      </c>
    </row>
    <row r="39" spans="1:3" x14ac:dyDescent="0.25">
      <c r="A39" t="s">
        <v>30</v>
      </c>
    </row>
    <row r="40" spans="1:3" x14ac:dyDescent="0.25">
      <c r="A40" t="s">
        <v>31</v>
      </c>
    </row>
    <row r="42" spans="1:3" ht="13" x14ac:dyDescent="0.3">
      <c r="A42" s="1" t="s">
        <v>32</v>
      </c>
    </row>
    <row r="43" spans="1:3" x14ac:dyDescent="0.25">
      <c r="A43" t="s">
        <v>33</v>
      </c>
    </row>
    <row r="44" spans="1:3" x14ac:dyDescent="0.25">
      <c r="A44" t="s">
        <v>34</v>
      </c>
      <c r="B44" s="2">
        <f>B24*B25*B26/12/100</f>
        <v>1721.6835740740739</v>
      </c>
    </row>
    <row r="46" spans="1:3" ht="13" x14ac:dyDescent="0.3">
      <c r="A46" s="1" t="s">
        <v>35</v>
      </c>
      <c r="B46" s="3">
        <f>SUM(B35:B45)</f>
        <v>12321.064935185181</v>
      </c>
    </row>
    <row r="47" spans="1:3" x14ac:dyDescent="0.25">
      <c r="B47" s="2"/>
    </row>
    <row r="48" spans="1:3" ht="13" x14ac:dyDescent="0.3">
      <c r="A48" s="1" t="s">
        <v>36</v>
      </c>
      <c r="B48" s="20" t="s">
        <v>87</v>
      </c>
      <c r="C48" s="20" t="s">
        <v>88</v>
      </c>
    </row>
    <row r="49" spans="1:3" ht="13" x14ac:dyDescent="0.3">
      <c r="A49" t="s">
        <v>37</v>
      </c>
      <c r="B49" s="10">
        <f>B46/B26</f>
        <v>256.68885281635795</v>
      </c>
      <c r="C49" s="19">
        <f>B49/1*(1+B3)</f>
        <v>277.2239610416666</v>
      </c>
    </row>
    <row r="51" spans="1:3" x14ac:dyDescent="0.25">
      <c r="A51" t="s">
        <v>38</v>
      </c>
    </row>
    <row r="52" spans="1:3" ht="13" x14ac:dyDescent="0.3">
      <c r="A52" t="s">
        <v>39</v>
      </c>
      <c r="B52" s="3">
        <f>B49*B26+B27</f>
        <v>22321.064935185183</v>
      </c>
      <c r="C52" s="18">
        <f>C49*B26+B27</f>
        <v>23306.750129999997</v>
      </c>
    </row>
    <row r="54" spans="1:3" ht="13" x14ac:dyDescent="0.3">
      <c r="A54" s="1" t="s">
        <v>50</v>
      </c>
      <c r="B54" s="3">
        <f>B52/B26</f>
        <v>465.02218614969132</v>
      </c>
      <c r="C54" s="18">
        <f>C52/B26</f>
        <v>485.55729437499991</v>
      </c>
    </row>
    <row r="56" spans="1:3" x14ac:dyDescent="0.25">
      <c r="B56" s="6">
        <f>1/B33*(B38+B44)</f>
        <v>0.10877018890742285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6"/>
  <sheetViews>
    <sheetView topLeftCell="A4" workbookViewId="0">
      <selection activeCell="B23" sqref="B23"/>
    </sheetView>
  </sheetViews>
  <sheetFormatPr baseColWidth="10" defaultRowHeight="12.5" x14ac:dyDescent="0.25"/>
  <cols>
    <col min="1" max="1" width="41.7265625" customWidth="1"/>
    <col min="2" max="3" width="13.26953125" bestFit="1" customWidth="1"/>
  </cols>
  <sheetData>
    <row r="1" spans="1:3" ht="15.5" x14ac:dyDescent="0.35">
      <c r="A1" s="4" t="s">
        <v>21</v>
      </c>
    </row>
    <row r="2" spans="1:3" ht="15.5" x14ac:dyDescent="0.35">
      <c r="A2" s="4"/>
    </row>
    <row r="3" spans="1:3" ht="13" x14ac:dyDescent="0.3">
      <c r="A3" s="1" t="s">
        <v>86</v>
      </c>
      <c r="B3" s="16">
        <v>0.08</v>
      </c>
    </row>
    <row r="4" spans="1:3" x14ac:dyDescent="0.25">
      <c r="B4" s="13" t="s">
        <v>84</v>
      </c>
      <c r="C4" s="13" t="s">
        <v>85</v>
      </c>
    </row>
    <row r="5" spans="1:3" ht="13" x14ac:dyDescent="0.3">
      <c r="A5" s="1" t="s">
        <v>22</v>
      </c>
      <c r="B5" s="17">
        <f>C5*1/(1+$B$3)</f>
        <v>37027.777777777774</v>
      </c>
      <c r="C5" s="14">
        <v>39990</v>
      </c>
    </row>
    <row r="6" spans="1:3" x14ac:dyDescent="0.25">
      <c r="A6" t="s">
        <v>99</v>
      </c>
      <c r="B6" s="17">
        <f t="shared" ref="B6:B18" si="0">C6*1/(1+$B$3)</f>
        <v>2314.8148148148148</v>
      </c>
      <c r="C6" s="15">
        <v>2500</v>
      </c>
    </row>
    <row r="7" spans="1:3" x14ac:dyDescent="0.25">
      <c r="A7" s="13" t="s">
        <v>100</v>
      </c>
      <c r="B7" s="17">
        <f t="shared" si="0"/>
        <v>1388.8888888888887</v>
      </c>
      <c r="C7" s="15">
        <v>1500</v>
      </c>
    </row>
    <row r="8" spans="1:3" x14ac:dyDescent="0.25">
      <c r="B8" s="17">
        <f t="shared" si="0"/>
        <v>0</v>
      </c>
      <c r="C8" s="15"/>
    </row>
    <row r="9" spans="1:3" x14ac:dyDescent="0.25">
      <c r="B9" s="17">
        <f t="shared" si="0"/>
        <v>0</v>
      </c>
      <c r="C9" s="15"/>
    </row>
    <row r="10" spans="1:3" x14ac:dyDescent="0.25">
      <c r="B10" s="17">
        <f t="shared" si="0"/>
        <v>0</v>
      </c>
      <c r="C10" s="15"/>
    </row>
    <row r="11" spans="1:3" x14ac:dyDescent="0.25">
      <c r="B11" s="17">
        <f t="shared" si="0"/>
        <v>0</v>
      </c>
      <c r="C11" s="15"/>
    </row>
    <row r="12" spans="1:3" x14ac:dyDescent="0.25">
      <c r="B12" s="17">
        <f t="shared" si="0"/>
        <v>0</v>
      </c>
      <c r="C12" s="15"/>
    </row>
    <row r="13" spans="1:3" x14ac:dyDescent="0.25">
      <c r="B13" s="17">
        <f t="shared" si="0"/>
        <v>0</v>
      </c>
      <c r="C13" s="15"/>
    </row>
    <row r="14" spans="1:3" x14ac:dyDescent="0.25">
      <c r="B14" s="17">
        <f t="shared" si="0"/>
        <v>0</v>
      </c>
      <c r="C14" s="15"/>
    </row>
    <row r="15" spans="1:3" x14ac:dyDescent="0.25">
      <c r="B15" s="17">
        <f t="shared" si="0"/>
        <v>0</v>
      </c>
      <c r="C15" s="15"/>
    </row>
    <row r="16" spans="1:3" x14ac:dyDescent="0.25">
      <c r="B16" s="17">
        <f t="shared" si="0"/>
        <v>0</v>
      </c>
      <c r="C16" s="15"/>
    </row>
    <row r="17" spans="1:3" x14ac:dyDescent="0.25">
      <c r="B17" s="17">
        <f t="shared" si="0"/>
        <v>0</v>
      </c>
      <c r="C17" s="15"/>
    </row>
    <row r="18" spans="1:3" x14ac:dyDescent="0.25">
      <c r="B18" s="17">
        <f t="shared" si="0"/>
        <v>0</v>
      </c>
      <c r="C18" s="15"/>
    </row>
    <row r="19" spans="1:3" ht="13" x14ac:dyDescent="0.3">
      <c r="A19" s="1" t="s">
        <v>56</v>
      </c>
      <c r="B19" s="3">
        <f>SUM(B6:B18)</f>
        <v>3703.7037037037035</v>
      </c>
    </row>
    <row r="20" spans="1:3" ht="13" x14ac:dyDescent="0.3">
      <c r="A20" s="1" t="s">
        <v>60</v>
      </c>
      <c r="B20" s="3">
        <f>(C5+B19)/100*C20</f>
        <v>0</v>
      </c>
      <c r="C20" s="7">
        <v>0</v>
      </c>
    </row>
    <row r="21" spans="1:3" ht="13" x14ac:dyDescent="0.3">
      <c r="A21" s="1"/>
      <c r="B21" s="3"/>
    </row>
    <row r="22" spans="1:3" ht="13" x14ac:dyDescent="0.3">
      <c r="A22" s="1" t="s">
        <v>59</v>
      </c>
      <c r="B22" s="3">
        <f>(B5+B19-B20)</f>
        <v>40731.481481481474</v>
      </c>
    </row>
    <row r="23" spans="1:3" x14ac:dyDescent="0.25">
      <c r="B23" s="2"/>
    </row>
    <row r="24" spans="1:3" ht="13" x14ac:dyDescent="0.3">
      <c r="A24" s="1" t="s">
        <v>25</v>
      </c>
      <c r="B24" s="3">
        <f>(C5+(B19/2))/100*B29</f>
        <v>16527.531481481485</v>
      </c>
    </row>
    <row r="25" spans="1:3" x14ac:dyDescent="0.25">
      <c r="A25" s="7" t="s">
        <v>26</v>
      </c>
      <c r="B25" s="7">
        <v>3.5</v>
      </c>
    </row>
    <row r="26" spans="1:3" x14ac:dyDescent="0.25">
      <c r="A26" s="7" t="s">
        <v>27</v>
      </c>
      <c r="B26" s="7">
        <v>48</v>
      </c>
    </row>
    <row r="27" spans="1:3" x14ac:dyDescent="0.25">
      <c r="A27" s="7" t="s">
        <v>23</v>
      </c>
      <c r="B27" s="8">
        <v>10000</v>
      </c>
    </row>
    <row r="28" spans="1:3" x14ac:dyDescent="0.25">
      <c r="A28" s="7" t="s">
        <v>57</v>
      </c>
      <c r="B28" s="9">
        <v>15000</v>
      </c>
    </row>
    <row r="29" spans="1:3" x14ac:dyDescent="0.25">
      <c r="A29" s="7" t="s">
        <v>58</v>
      </c>
      <c r="B29" s="7">
        <v>39.5</v>
      </c>
    </row>
    <row r="31" spans="1:3" x14ac:dyDescent="0.25">
      <c r="A31" t="s">
        <v>22</v>
      </c>
      <c r="B31" s="2">
        <f>VALUE(B22)</f>
        <v>40731.481481481474</v>
      </c>
    </row>
    <row r="32" spans="1:3" x14ac:dyDescent="0.25">
      <c r="A32" t="s">
        <v>23</v>
      </c>
      <c r="B32" s="5">
        <f>VALUE(B27)</f>
        <v>10000</v>
      </c>
    </row>
    <row r="33" spans="1:3" x14ac:dyDescent="0.25">
      <c r="A33" t="s">
        <v>24</v>
      </c>
      <c r="B33" s="2">
        <f>B31-B32</f>
        <v>30731.481481481474</v>
      </c>
    </row>
    <row r="34" spans="1:3" x14ac:dyDescent="0.25">
      <c r="A34" t="s">
        <v>25</v>
      </c>
      <c r="B34" s="5">
        <f>VALUE(B24)</f>
        <v>16527.531481481485</v>
      </c>
    </row>
    <row r="35" spans="1:3" ht="13" x14ac:dyDescent="0.3">
      <c r="A35" s="1" t="s">
        <v>29</v>
      </c>
      <c r="B35" s="3">
        <f>B33-B34</f>
        <v>14203.94999999999</v>
      </c>
    </row>
    <row r="38" spans="1:3" ht="13" x14ac:dyDescent="0.3">
      <c r="A38" s="1" t="s">
        <v>28</v>
      </c>
      <c r="B38" s="2">
        <f>B35*B25*B26/2/12/100</f>
        <v>994.27649999999949</v>
      </c>
    </row>
    <row r="39" spans="1:3" x14ac:dyDescent="0.25">
      <c r="A39" t="s">
        <v>30</v>
      </c>
    </row>
    <row r="40" spans="1:3" x14ac:dyDescent="0.25">
      <c r="A40" t="s">
        <v>31</v>
      </c>
    </row>
    <row r="42" spans="1:3" ht="13" x14ac:dyDescent="0.3">
      <c r="A42" s="1" t="s">
        <v>32</v>
      </c>
    </row>
    <row r="43" spans="1:3" x14ac:dyDescent="0.25">
      <c r="A43" t="s">
        <v>33</v>
      </c>
    </row>
    <row r="44" spans="1:3" x14ac:dyDescent="0.25">
      <c r="A44" t="s">
        <v>34</v>
      </c>
      <c r="B44" s="2">
        <f>B24*B25*B26/12/100</f>
        <v>2313.8544074074075</v>
      </c>
    </row>
    <row r="46" spans="1:3" ht="13" x14ac:dyDescent="0.3">
      <c r="A46" s="1" t="s">
        <v>35</v>
      </c>
      <c r="B46" s="3">
        <f>SUM(B35:B45)</f>
        <v>17512.080907407399</v>
      </c>
    </row>
    <row r="47" spans="1:3" x14ac:dyDescent="0.25">
      <c r="B47" s="2"/>
    </row>
    <row r="48" spans="1:3" ht="13" x14ac:dyDescent="0.3">
      <c r="A48" s="1" t="s">
        <v>36</v>
      </c>
      <c r="B48" s="20" t="s">
        <v>87</v>
      </c>
      <c r="C48" s="20" t="s">
        <v>88</v>
      </c>
    </row>
    <row r="49" spans="1:3" ht="13" x14ac:dyDescent="0.3">
      <c r="A49" t="s">
        <v>37</v>
      </c>
      <c r="B49" s="10">
        <f>B46/B26</f>
        <v>364.8350189043208</v>
      </c>
      <c r="C49" s="19">
        <f>B49/1*(1+B3)</f>
        <v>394.02182041666651</v>
      </c>
    </row>
    <row r="51" spans="1:3" x14ac:dyDescent="0.25">
      <c r="A51" t="s">
        <v>38</v>
      </c>
    </row>
    <row r="52" spans="1:3" ht="13" x14ac:dyDescent="0.3">
      <c r="A52" t="s">
        <v>39</v>
      </c>
      <c r="B52" s="3">
        <f>B49*B26+B27</f>
        <v>27512.080907407399</v>
      </c>
      <c r="C52" s="18">
        <f>C49*B26+B27</f>
        <v>28913.047379999993</v>
      </c>
    </row>
    <row r="54" spans="1:3" ht="13" x14ac:dyDescent="0.3">
      <c r="A54" s="1" t="s">
        <v>50</v>
      </c>
      <c r="B54" s="3">
        <f>B52/B26</f>
        <v>573.16835223765418</v>
      </c>
      <c r="C54" s="18">
        <f>C52/B26</f>
        <v>602.35515374999989</v>
      </c>
    </row>
    <row r="56" spans="1:3" x14ac:dyDescent="0.25">
      <c r="B56" s="6">
        <f>1/B33*(B38+B44)</f>
        <v>0.10764632057848751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56"/>
  <sheetViews>
    <sheetView workbookViewId="0">
      <selection activeCell="A19" sqref="A19"/>
    </sheetView>
  </sheetViews>
  <sheetFormatPr baseColWidth="10" defaultRowHeight="12.5" x14ac:dyDescent="0.25"/>
  <cols>
    <col min="1" max="1" width="41.7265625" customWidth="1"/>
    <col min="2" max="3" width="13.26953125" bestFit="1" customWidth="1"/>
  </cols>
  <sheetData>
    <row r="1" spans="1:3" ht="15.5" x14ac:dyDescent="0.35">
      <c r="A1" s="4" t="s">
        <v>21</v>
      </c>
    </row>
    <row r="2" spans="1:3" ht="15.5" x14ac:dyDescent="0.35">
      <c r="A2" s="4"/>
    </row>
    <row r="3" spans="1:3" ht="13" x14ac:dyDescent="0.3">
      <c r="A3" s="1" t="s">
        <v>86</v>
      </c>
      <c r="B3" s="16">
        <v>0.08</v>
      </c>
    </row>
    <row r="4" spans="1:3" x14ac:dyDescent="0.25">
      <c r="B4" s="13" t="s">
        <v>84</v>
      </c>
      <c r="C4" s="13" t="s">
        <v>85</v>
      </c>
    </row>
    <row r="5" spans="1:3" ht="13" x14ac:dyDescent="0.3">
      <c r="A5" s="1" t="s">
        <v>22</v>
      </c>
      <c r="B5" s="17">
        <f>C5*1/(1+$B$3)</f>
        <v>32314.814814814814</v>
      </c>
      <c r="C5" s="14">
        <v>34900</v>
      </c>
    </row>
    <row r="6" spans="1:3" x14ac:dyDescent="0.25">
      <c r="A6" t="s">
        <v>78</v>
      </c>
      <c r="B6" s="17">
        <f t="shared" ref="B6:B18" si="0">C6*1/(1+$B$3)</f>
        <v>555.55555555555554</v>
      </c>
      <c r="C6" s="15">
        <v>600</v>
      </c>
    </row>
    <row r="7" spans="1:3" x14ac:dyDescent="0.25">
      <c r="A7" s="13" t="s">
        <v>94</v>
      </c>
      <c r="B7" s="17">
        <f t="shared" si="0"/>
        <v>1759.2592592592591</v>
      </c>
      <c r="C7" s="15">
        <v>1900</v>
      </c>
    </row>
    <row r="8" spans="1:3" x14ac:dyDescent="0.25">
      <c r="B8" s="17">
        <f t="shared" si="0"/>
        <v>0</v>
      </c>
      <c r="C8" s="15"/>
    </row>
    <row r="9" spans="1:3" x14ac:dyDescent="0.25">
      <c r="B9" s="17">
        <f t="shared" si="0"/>
        <v>0</v>
      </c>
      <c r="C9" s="15"/>
    </row>
    <row r="10" spans="1:3" x14ac:dyDescent="0.25">
      <c r="B10" s="17">
        <f t="shared" si="0"/>
        <v>0</v>
      </c>
      <c r="C10" s="15"/>
    </row>
    <row r="11" spans="1:3" x14ac:dyDescent="0.25">
      <c r="B11" s="17">
        <f t="shared" si="0"/>
        <v>0</v>
      </c>
      <c r="C11" s="15"/>
    </row>
    <row r="12" spans="1:3" x14ac:dyDescent="0.25">
      <c r="B12" s="17">
        <f t="shared" si="0"/>
        <v>0</v>
      </c>
      <c r="C12" s="15"/>
    </row>
    <row r="13" spans="1:3" x14ac:dyDescent="0.25">
      <c r="B13" s="17">
        <f t="shared" si="0"/>
        <v>0</v>
      </c>
      <c r="C13" s="15"/>
    </row>
    <row r="14" spans="1:3" x14ac:dyDescent="0.25">
      <c r="B14" s="17">
        <f t="shared" si="0"/>
        <v>0</v>
      </c>
      <c r="C14" s="15"/>
    </row>
    <row r="15" spans="1:3" x14ac:dyDescent="0.25">
      <c r="B15" s="17">
        <f t="shared" si="0"/>
        <v>0</v>
      </c>
      <c r="C15" s="15"/>
    </row>
    <row r="16" spans="1:3" x14ac:dyDescent="0.25">
      <c r="B16" s="17">
        <f t="shared" si="0"/>
        <v>0</v>
      </c>
      <c r="C16" s="15"/>
    </row>
    <row r="17" spans="1:3" x14ac:dyDescent="0.25">
      <c r="B17" s="17">
        <f t="shared" si="0"/>
        <v>0</v>
      </c>
      <c r="C17" s="15"/>
    </row>
    <row r="18" spans="1:3" x14ac:dyDescent="0.25">
      <c r="B18" s="17">
        <f t="shared" si="0"/>
        <v>0</v>
      </c>
      <c r="C18" s="15"/>
    </row>
    <row r="19" spans="1:3" ht="13" x14ac:dyDescent="0.3">
      <c r="A19" s="1" t="s">
        <v>56</v>
      </c>
      <c r="B19" s="3">
        <f>SUM(B6:B18)</f>
        <v>2314.8148148148148</v>
      </c>
    </row>
    <row r="20" spans="1:3" ht="13" x14ac:dyDescent="0.3">
      <c r="A20" s="1" t="s">
        <v>60</v>
      </c>
      <c r="B20" s="3">
        <f>(C5+B19)/100*C20</f>
        <v>0</v>
      </c>
      <c r="C20" s="7">
        <v>0</v>
      </c>
    </row>
    <row r="21" spans="1:3" ht="13" x14ac:dyDescent="0.3">
      <c r="A21" s="1"/>
      <c r="B21" s="3"/>
    </row>
    <row r="22" spans="1:3" ht="13" x14ac:dyDescent="0.3">
      <c r="A22" s="1" t="s">
        <v>59</v>
      </c>
      <c r="B22" s="3">
        <f>(B5+B19-B20)</f>
        <v>34629.629629629628</v>
      </c>
    </row>
    <row r="23" spans="1:3" x14ac:dyDescent="0.25">
      <c r="B23" s="2"/>
    </row>
    <row r="24" spans="1:3" ht="13" x14ac:dyDescent="0.3">
      <c r="A24" s="1" t="s">
        <v>25</v>
      </c>
      <c r="B24" s="3">
        <f>(C5+(B19/2))/100*B29</f>
        <v>14242.675925925925</v>
      </c>
    </row>
    <row r="25" spans="1:3" x14ac:dyDescent="0.25">
      <c r="A25" s="7" t="s">
        <v>26</v>
      </c>
      <c r="B25" s="7">
        <v>3.5</v>
      </c>
    </row>
    <row r="26" spans="1:3" x14ac:dyDescent="0.25">
      <c r="A26" s="7" t="s">
        <v>27</v>
      </c>
      <c r="B26" s="7">
        <v>48</v>
      </c>
    </row>
    <row r="27" spans="1:3" x14ac:dyDescent="0.25">
      <c r="A27" s="7" t="s">
        <v>23</v>
      </c>
      <c r="B27" s="8">
        <v>10000</v>
      </c>
    </row>
    <row r="28" spans="1:3" x14ac:dyDescent="0.25">
      <c r="A28" s="7" t="s">
        <v>57</v>
      </c>
      <c r="B28" s="9">
        <v>15000</v>
      </c>
    </row>
    <row r="29" spans="1:3" x14ac:dyDescent="0.25">
      <c r="A29" s="7" t="s">
        <v>58</v>
      </c>
      <c r="B29" s="7">
        <v>39.5</v>
      </c>
    </row>
    <row r="31" spans="1:3" x14ac:dyDescent="0.25">
      <c r="A31" t="s">
        <v>22</v>
      </c>
      <c r="B31" s="2">
        <f>VALUE(B22)</f>
        <v>34629.629629629628</v>
      </c>
    </row>
    <row r="32" spans="1:3" x14ac:dyDescent="0.25">
      <c r="A32" t="s">
        <v>23</v>
      </c>
      <c r="B32" s="5">
        <f>VALUE(B27)</f>
        <v>10000</v>
      </c>
    </row>
    <row r="33" spans="1:3" x14ac:dyDescent="0.25">
      <c r="A33" t="s">
        <v>24</v>
      </c>
      <c r="B33" s="2">
        <f>B31-B32</f>
        <v>24629.629629629628</v>
      </c>
    </row>
    <row r="34" spans="1:3" x14ac:dyDescent="0.25">
      <c r="A34" t="s">
        <v>25</v>
      </c>
      <c r="B34" s="5">
        <f>VALUE(B24)</f>
        <v>14242.675925925925</v>
      </c>
    </row>
    <row r="35" spans="1:3" ht="13" x14ac:dyDescent="0.3">
      <c r="A35" s="1" t="s">
        <v>29</v>
      </c>
      <c r="B35" s="3">
        <f>B33-B34</f>
        <v>10386.953703703703</v>
      </c>
    </row>
    <row r="38" spans="1:3" ht="13" x14ac:dyDescent="0.3">
      <c r="A38" s="1" t="s">
        <v>28</v>
      </c>
      <c r="B38" s="2">
        <f>B35*B25*B26/2/12/100</f>
        <v>727.08675925925911</v>
      </c>
    </row>
    <row r="39" spans="1:3" x14ac:dyDescent="0.25">
      <c r="A39" t="s">
        <v>30</v>
      </c>
    </row>
    <row r="40" spans="1:3" x14ac:dyDescent="0.25">
      <c r="A40" t="s">
        <v>31</v>
      </c>
    </row>
    <row r="42" spans="1:3" ht="13" x14ac:dyDescent="0.3">
      <c r="A42" s="1" t="s">
        <v>32</v>
      </c>
    </row>
    <row r="43" spans="1:3" x14ac:dyDescent="0.25">
      <c r="A43" t="s">
        <v>33</v>
      </c>
    </row>
    <row r="44" spans="1:3" x14ac:dyDescent="0.25">
      <c r="A44" t="s">
        <v>34</v>
      </c>
      <c r="B44" s="2">
        <f>B24*B25*B26/12/100</f>
        <v>1993.9746296296296</v>
      </c>
    </row>
    <row r="46" spans="1:3" ht="13" x14ac:dyDescent="0.3">
      <c r="A46" s="1" t="s">
        <v>35</v>
      </c>
      <c r="B46" s="3">
        <f>SUM(B35:B45)</f>
        <v>13108.01509259259</v>
      </c>
    </row>
    <row r="47" spans="1:3" x14ac:dyDescent="0.25">
      <c r="B47" s="2"/>
    </row>
    <row r="48" spans="1:3" ht="13" x14ac:dyDescent="0.3">
      <c r="A48" s="1" t="s">
        <v>36</v>
      </c>
      <c r="B48" s="20" t="s">
        <v>87</v>
      </c>
      <c r="C48" s="20" t="s">
        <v>88</v>
      </c>
    </row>
    <row r="49" spans="1:3" ht="13" x14ac:dyDescent="0.3">
      <c r="A49" t="s">
        <v>37</v>
      </c>
      <c r="B49" s="10">
        <f>B46/B26</f>
        <v>273.08364776234561</v>
      </c>
      <c r="C49" s="19">
        <f>B49/1*(1+B3)</f>
        <v>294.93033958333325</v>
      </c>
    </row>
    <row r="51" spans="1:3" x14ac:dyDescent="0.25">
      <c r="A51" t="s">
        <v>38</v>
      </c>
    </row>
    <row r="52" spans="1:3" ht="13" x14ac:dyDescent="0.3">
      <c r="A52" t="s">
        <v>39</v>
      </c>
      <c r="B52" s="3">
        <f>B49*B26+B27</f>
        <v>23108.015092592588</v>
      </c>
      <c r="C52" s="18">
        <f>C49*B26+B27</f>
        <v>24156.656299999995</v>
      </c>
    </row>
    <row r="54" spans="1:3" ht="13" x14ac:dyDescent="0.3">
      <c r="A54" s="1" t="s">
        <v>50</v>
      </c>
      <c r="B54" s="3">
        <f>B52/B26</f>
        <v>481.41698109567892</v>
      </c>
      <c r="C54" s="18">
        <f>C52/B26</f>
        <v>503.26367291666656</v>
      </c>
    </row>
    <row r="56" spans="1:3" x14ac:dyDescent="0.25">
      <c r="B56" s="6">
        <f>1/B33*(B38+B44)</f>
        <v>0.11047918421052633</v>
      </c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Betriebskosten bei Leasing</vt:lpstr>
      <vt:lpstr>Betriebskosten</vt:lpstr>
      <vt:lpstr>Kauf Fahrzeug</vt:lpstr>
      <vt:lpstr>Leasingrate</vt:lpstr>
      <vt:lpstr>Kreditfähigkeitsprüfung</vt:lpstr>
      <vt:lpstr>Renault Clio</vt:lpstr>
      <vt:lpstr>Hyundai Veloster</vt:lpstr>
      <vt:lpstr>Hyundai i40</vt:lpstr>
      <vt:lpstr>Nissan Juke</vt:lpstr>
      <vt:lpstr>Golf VI</vt:lpstr>
      <vt:lpstr>VW Polo</vt:lpstr>
      <vt:lpstr>Nissan Micra</vt:lpstr>
      <vt:lpstr>Volvo V60</vt:lpstr>
      <vt:lpstr>Leasingrate_1</vt:lpstr>
    </vt:vector>
  </TitlesOfParts>
  <Company>Hans Pfister Projekt Support &amp; 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Pfister</dc:creator>
  <cp:lastModifiedBy>Hans Pfister</cp:lastModifiedBy>
  <cp:lastPrinted>2006-07-12T10:45:18Z</cp:lastPrinted>
  <dcterms:created xsi:type="dcterms:W3CDTF">2004-06-18T10:43:00Z</dcterms:created>
  <dcterms:modified xsi:type="dcterms:W3CDTF">2019-04-02T05:49:08Z</dcterms:modified>
</cp:coreProperties>
</file>